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ml.chartshapes+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ml.chartshapes+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ml.chartshapes+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C:\Users\geral\Documents\CAP\Wing Wt and Balance\"/>
    </mc:Choice>
  </mc:AlternateContent>
  <xr:revisionPtr revIDLastSave="0" documentId="13_ncr:1_{03B4D389-E0C9-4981-9DC4-187EB5943728}" xr6:coauthVersionLast="47" xr6:coauthVersionMax="47" xr10:uidLastSave="{00000000-0000-0000-0000-000000000000}"/>
  <bookViews>
    <workbookView xWindow="28680" yWindow="-120" windowWidth="29040" windowHeight="16440" activeTab="3" xr2:uid="{00000000-000D-0000-FFFF-FFFF00000000}"/>
  </bookViews>
  <sheets>
    <sheet name="N950CP" sheetId="10" r:id="rId1"/>
    <sheet name="N99871" sheetId="5" r:id="rId2"/>
    <sheet name="N470CP" sheetId="15" r:id="rId3"/>
    <sheet name="N839CP" sheetId="14" r:id="rId4"/>
    <sheet name="N631CP" sheetId="8" r:id="rId5"/>
    <sheet name="N99589" sheetId="4" r:id="rId6"/>
    <sheet name="N899CP-WI 182" sheetId="18" state="hidden" r:id="rId7"/>
    <sheet name="N883CP" sheetId="9" r:id="rId8"/>
    <sheet name="Stats_Cessna" sheetId="2" state="hidden" r:id="rId9"/>
    <sheet name="Stats_Gippsland" sheetId="17" state="hidden" r:id="rId10"/>
    <sheet name="Loading Graph Data" sheetId="11" state="hidden" r:id="rId11"/>
    <sheet name="Moment Envelope Data" sheetId="12" state="hidden" r:id="rId12"/>
    <sheet name="Template" sheetId="1" state="hidden" r:id="rId13"/>
    <sheet name="Change Log" sheetId="13" state="hidden"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8" i="18" l="1"/>
  <c r="N10" i="18"/>
  <c r="N11" i="18"/>
  <c r="N7" i="18"/>
  <c r="M16" i="18" s="1"/>
  <c r="O24" i="18" s="1"/>
  <c r="N6" i="18"/>
  <c r="N5" i="18"/>
  <c r="N16" i="18" s="1"/>
  <c r="N4" i="18"/>
  <c r="N3" i="18"/>
  <c r="N2" i="18"/>
  <c r="N1" i="18"/>
  <c r="O30" i="18"/>
  <c r="N30" i="18"/>
  <c r="O28" i="18"/>
  <c r="B30" i="18" s="1"/>
  <c r="N28" i="18"/>
  <c r="C30" i="18" s="1"/>
  <c r="O27" i="18"/>
  <c r="N27" i="18"/>
  <c r="M27" i="18"/>
  <c r="O22" i="18"/>
  <c r="N22" i="18"/>
  <c r="M22" i="18"/>
  <c r="O21" i="18"/>
  <c r="N21" i="18"/>
  <c r="M21" i="18"/>
  <c r="O20" i="18"/>
  <c r="N20" i="18"/>
  <c r="M20" i="18"/>
  <c r="O19" i="18"/>
  <c r="N19" i="18"/>
  <c r="M19" i="18"/>
  <c r="O18" i="18"/>
  <c r="N18" i="18"/>
  <c r="M18" i="18"/>
  <c r="O17" i="18"/>
  <c r="N17" i="18"/>
  <c r="N25" i="18" s="1"/>
  <c r="C31" i="18" s="1"/>
  <c r="M17" i="18"/>
  <c r="O16" i="18"/>
  <c r="M21" i="4"/>
  <c r="M20" i="4"/>
  <c r="M19" i="4"/>
  <c r="M18" i="4"/>
  <c r="M26" i="4"/>
  <c r="M17" i="4"/>
  <c r="M26" i="5"/>
  <c r="M21" i="5"/>
  <c r="M20" i="5"/>
  <c r="M19" i="5"/>
  <c r="M18" i="5"/>
  <c r="M17" i="5"/>
  <c r="Z16" i="17"/>
  <c r="M28" i="15"/>
  <c r="M23" i="15"/>
  <c r="M22" i="15"/>
  <c r="M21" i="15"/>
  <c r="M20" i="15"/>
  <c r="M19" i="15"/>
  <c r="M18" i="15"/>
  <c r="M17" i="15"/>
  <c r="O25" i="15" s="1"/>
  <c r="M16" i="15"/>
  <c r="N10" i="15"/>
  <c r="N7" i="15"/>
  <c r="N6" i="15"/>
  <c r="N5" i="15"/>
  <c r="N4" i="15"/>
  <c r="N3" i="15"/>
  <c r="N2" i="15"/>
  <c r="N1" i="15"/>
  <c r="O23" i="18" l="1"/>
  <c r="B29" i="18" s="1"/>
  <c r="N9" i="18"/>
  <c r="N23" i="18"/>
  <c r="C29" i="18" s="1"/>
  <c r="O25" i="18"/>
  <c r="B31" i="18" s="1"/>
  <c r="N20" i="15"/>
  <c r="O20" i="15" s="1"/>
  <c r="N11" i="15"/>
  <c r="N16" i="15"/>
  <c r="O16" i="15"/>
  <c r="N28" i="15"/>
  <c r="O28" i="15" s="1"/>
  <c r="N23" i="15"/>
  <c r="O23" i="15" s="1"/>
  <c r="N22" i="15"/>
  <c r="N21" i="15"/>
  <c r="N19" i="15"/>
  <c r="O19" i="15" s="1"/>
  <c r="N18" i="15"/>
  <c r="O18" i="15" s="1"/>
  <c r="N17" i="15"/>
  <c r="O17" i="15" s="1"/>
  <c r="S20" i="11"/>
  <c r="Q20" i="11"/>
  <c r="N20" i="11"/>
  <c r="L20" i="11"/>
  <c r="I20" i="11"/>
  <c r="F20" i="11"/>
  <c r="E20" i="11"/>
  <c r="B20" i="11"/>
  <c r="S19" i="11"/>
  <c r="Q19" i="11"/>
  <c r="N19" i="11"/>
  <c r="L19" i="11"/>
  <c r="I19" i="11"/>
  <c r="F19" i="11"/>
  <c r="E19" i="11"/>
  <c r="B19" i="11"/>
  <c r="G45" i="12"/>
  <c r="G44" i="12"/>
  <c r="G43" i="12"/>
  <c r="G42" i="12"/>
  <c r="G41" i="12"/>
  <c r="O22" i="15" l="1"/>
  <c r="O21" i="15"/>
  <c r="N8" i="15"/>
  <c r="N9" i="15" s="1"/>
  <c r="N24" i="15"/>
  <c r="O24" i="15" l="1"/>
  <c r="O26" i="15" s="1"/>
  <c r="B30" i="15" s="1"/>
  <c r="N31" i="15"/>
  <c r="N26" i="15"/>
  <c r="C30" i="15" s="1"/>
  <c r="N10" i="14"/>
  <c r="O29" i="15" l="1"/>
  <c r="B31" i="15" s="1"/>
  <c r="O31" i="15"/>
  <c r="B32" i="15"/>
  <c r="C32" i="15"/>
  <c r="N29" i="15"/>
  <c r="C31" i="15" s="1"/>
  <c r="M26" i="14"/>
  <c r="M21" i="14"/>
  <c r="M20" i="14"/>
  <c r="M19" i="14"/>
  <c r="M18" i="14"/>
  <c r="M17" i="14"/>
  <c r="O23" i="14" s="1"/>
  <c r="N11" i="14"/>
  <c r="N7" i="14"/>
  <c r="M16" i="14" s="1"/>
  <c r="N6" i="14"/>
  <c r="O16" i="14" s="1"/>
  <c r="N5" i="14"/>
  <c r="N4" i="14"/>
  <c r="N3" i="14"/>
  <c r="N2" i="14"/>
  <c r="N1" i="14"/>
  <c r="N26" i="14"/>
  <c r="O26" i="14" s="1"/>
  <c r="O21" i="14"/>
  <c r="N21" i="14"/>
  <c r="N20" i="14"/>
  <c r="O20" i="14" s="1"/>
  <c r="N19" i="14"/>
  <c r="O19" i="14" s="1"/>
  <c r="N18" i="14"/>
  <c r="O18" i="14" s="1"/>
  <c r="N17" i="14"/>
  <c r="O17" i="14" s="1"/>
  <c r="N8" i="14" l="1"/>
  <c r="N9" i="14" s="1"/>
  <c r="N16" i="14"/>
  <c r="O22" i="14"/>
  <c r="N22" i="14"/>
  <c r="N1" i="4"/>
  <c r="C28" i="14" l="1"/>
  <c r="N29" i="14"/>
  <c r="B28" i="14"/>
  <c r="O29" i="14"/>
  <c r="O24" i="14"/>
  <c r="N24" i="14"/>
  <c r="N19" i="4"/>
  <c r="O19" i="4" s="1"/>
  <c r="N18" i="4"/>
  <c r="O18" i="4" s="1"/>
  <c r="N19" i="1"/>
  <c r="O19" i="1" s="1"/>
  <c r="N18" i="1"/>
  <c r="O18" i="1" s="1"/>
  <c r="N19" i="5"/>
  <c r="N18" i="5"/>
  <c r="O18" i="5" s="1"/>
  <c r="N19" i="8"/>
  <c r="O19" i="8" s="1"/>
  <c r="N18" i="8"/>
  <c r="O18" i="8" s="1"/>
  <c r="N19" i="9"/>
  <c r="O19" i="9" s="1"/>
  <c r="N18" i="9"/>
  <c r="O18" i="9" s="1"/>
  <c r="N19" i="10"/>
  <c r="O19" i="10" s="1"/>
  <c r="N18" i="10"/>
  <c r="O18" i="10" s="1"/>
  <c r="N22" i="10"/>
  <c r="O22" i="10" s="1"/>
  <c r="N22" i="9"/>
  <c r="O22" i="9" s="1"/>
  <c r="N22" i="8"/>
  <c r="O22" i="8" s="1"/>
  <c r="G37" i="12"/>
  <c r="G36" i="12"/>
  <c r="G35" i="12"/>
  <c r="G34" i="12"/>
  <c r="G33" i="12"/>
  <c r="G31" i="12"/>
  <c r="G30" i="12"/>
  <c r="G29" i="12"/>
  <c r="G28" i="12"/>
  <c r="G27" i="12"/>
  <c r="M27" i="10"/>
  <c r="M22" i="10"/>
  <c r="M21" i="10"/>
  <c r="M20" i="10"/>
  <c r="M19" i="10"/>
  <c r="M18" i="10"/>
  <c r="M17" i="10"/>
  <c r="O24" i="10" s="1"/>
  <c r="N11" i="10"/>
  <c r="N10" i="10"/>
  <c r="N7" i="10"/>
  <c r="M16" i="10" s="1"/>
  <c r="N6" i="10"/>
  <c r="O16" i="10" s="1"/>
  <c r="N5" i="10"/>
  <c r="N16" i="10" s="1"/>
  <c r="N4" i="10"/>
  <c r="N3" i="10"/>
  <c r="N2" i="10"/>
  <c r="N1" i="10"/>
  <c r="N27" i="10"/>
  <c r="O27" i="10" s="1"/>
  <c r="N21" i="10"/>
  <c r="O21" i="10" s="1"/>
  <c r="N20" i="10"/>
  <c r="O20" i="10" s="1"/>
  <c r="N17" i="10"/>
  <c r="O17" i="10" s="1"/>
  <c r="M27" i="9"/>
  <c r="M22" i="9"/>
  <c r="M21" i="9"/>
  <c r="M20" i="9"/>
  <c r="M19" i="9"/>
  <c r="M18" i="9"/>
  <c r="M17" i="9"/>
  <c r="O24" i="9" s="1"/>
  <c r="N11" i="9"/>
  <c r="N10" i="9"/>
  <c r="N7" i="9"/>
  <c r="M16" i="9" s="1"/>
  <c r="N6" i="9"/>
  <c r="O16" i="9" s="1"/>
  <c r="N5" i="9"/>
  <c r="N16" i="9" s="1"/>
  <c r="N4" i="9"/>
  <c r="N3" i="9"/>
  <c r="N2" i="9"/>
  <c r="N1" i="9"/>
  <c r="N27" i="9"/>
  <c r="O27" i="9" s="1"/>
  <c r="N21" i="9"/>
  <c r="O21" i="9" s="1"/>
  <c r="N20" i="9"/>
  <c r="O20" i="9" s="1"/>
  <c r="N17" i="9"/>
  <c r="M27" i="8"/>
  <c r="M22" i="8"/>
  <c r="M21" i="8"/>
  <c r="M20" i="8"/>
  <c r="M19" i="8"/>
  <c r="M18" i="8"/>
  <c r="M17" i="8"/>
  <c r="N11" i="8"/>
  <c r="N10" i="8"/>
  <c r="N7" i="8"/>
  <c r="M16" i="8" s="1"/>
  <c r="O24" i="8" s="1"/>
  <c r="N6" i="8"/>
  <c r="O16" i="8" s="1"/>
  <c r="N5" i="8"/>
  <c r="N16" i="8" s="1"/>
  <c r="N4" i="8"/>
  <c r="N3" i="8"/>
  <c r="N2" i="8"/>
  <c r="N27" i="8"/>
  <c r="O27" i="8" s="1"/>
  <c r="N21" i="8"/>
  <c r="O21" i="8" s="1"/>
  <c r="N20" i="8"/>
  <c r="O20" i="8" s="1"/>
  <c r="N17" i="8"/>
  <c r="N8" i="10" l="1"/>
  <c r="N9" i="10" s="1"/>
  <c r="N8" i="8"/>
  <c r="N9" i="8" s="1"/>
  <c r="N8" i="9"/>
  <c r="N9" i="9" s="1"/>
  <c r="C30" i="14"/>
  <c r="N27" i="14"/>
  <c r="C29" i="14" s="1"/>
  <c r="B30" i="14"/>
  <c r="O27" i="14"/>
  <c r="B29" i="14" s="1"/>
  <c r="O17" i="9"/>
  <c r="N23" i="9"/>
  <c r="N25" i="9" s="1"/>
  <c r="N23" i="8"/>
  <c r="N25" i="8" s="1"/>
  <c r="N23" i="10"/>
  <c r="N25" i="10" s="1"/>
  <c r="N28" i="10" s="1"/>
  <c r="C30" i="10" s="1"/>
  <c r="O23" i="10"/>
  <c r="B29" i="10" s="1"/>
  <c r="O17" i="8"/>
  <c r="G19" i="12"/>
  <c r="G17" i="12"/>
  <c r="G16" i="12"/>
  <c r="G21" i="12"/>
  <c r="G22" i="12"/>
  <c r="G15" i="12"/>
  <c r="G23" i="12"/>
  <c r="G20" i="12"/>
  <c r="G14" i="12"/>
  <c r="G13" i="12"/>
  <c r="G12" i="12"/>
  <c r="O23" i="9" l="1"/>
  <c r="O25" i="9" s="1"/>
  <c r="O23" i="8"/>
  <c r="O25" i="8" s="1"/>
  <c r="O25" i="10"/>
  <c r="O30" i="10"/>
  <c r="C29" i="10"/>
  <c r="N30" i="10"/>
  <c r="C31" i="10"/>
  <c r="C29" i="9"/>
  <c r="N30" i="9"/>
  <c r="C31" i="8"/>
  <c r="N28" i="8"/>
  <c r="C30" i="8" s="1"/>
  <c r="O30" i="8"/>
  <c r="C29" i="8"/>
  <c r="N30" i="8"/>
  <c r="N11" i="4"/>
  <c r="N10" i="4"/>
  <c r="N7" i="4"/>
  <c r="M16" i="4" s="1"/>
  <c r="N6" i="4"/>
  <c r="O16" i="4" s="1"/>
  <c r="N5" i="4"/>
  <c r="N16" i="4" s="1"/>
  <c r="N4" i="4"/>
  <c r="N3" i="4"/>
  <c r="N2" i="4"/>
  <c r="N26" i="4"/>
  <c r="O26" i="4" s="1"/>
  <c r="N21" i="4"/>
  <c r="O21" i="4" s="1"/>
  <c r="N20" i="4"/>
  <c r="O20" i="4" s="1"/>
  <c r="N17" i="4"/>
  <c r="O17" i="4" s="1"/>
  <c r="O23" i="4"/>
  <c r="B31" i="10" l="1"/>
  <c r="O28" i="10"/>
  <c r="B30" i="10" s="1"/>
  <c r="B29" i="9"/>
  <c r="N8" i="4"/>
  <c r="N9" i="4" s="1"/>
  <c r="O30" i="9"/>
  <c r="B29" i="8"/>
  <c r="B31" i="9"/>
  <c r="O28" i="9"/>
  <c r="B30" i="9" s="1"/>
  <c r="C31" i="9"/>
  <c r="N28" i="9"/>
  <c r="C30" i="9" s="1"/>
  <c r="B31" i="8"/>
  <c r="O28" i="8"/>
  <c r="B30" i="8" s="1"/>
  <c r="O22" i="4"/>
  <c r="B28" i="4" s="1"/>
  <c r="N22" i="4"/>
  <c r="N24" i="4" s="1"/>
  <c r="N10" i="5"/>
  <c r="N7" i="5"/>
  <c r="M16" i="5" s="1"/>
  <c r="N6" i="5"/>
  <c r="O16" i="5" s="1"/>
  <c r="N5" i="5"/>
  <c r="N16" i="5" s="1"/>
  <c r="N4" i="5"/>
  <c r="N3" i="5"/>
  <c r="N2" i="5"/>
  <c r="N1" i="5"/>
  <c r="N26" i="5"/>
  <c r="O26" i="5" s="1"/>
  <c r="N21" i="5"/>
  <c r="N20" i="5"/>
  <c r="O19" i="5"/>
  <c r="N17" i="5"/>
  <c r="O23" i="5"/>
  <c r="O21" i="5" l="1"/>
  <c r="N8" i="5"/>
  <c r="N9" i="5" s="1"/>
  <c r="O20" i="5"/>
  <c r="O29" i="4"/>
  <c r="C30" i="4"/>
  <c r="N27" i="4"/>
  <c r="C29" i="4" s="1"/>
  <c r="O24" i="4"/>
  <c r="C28" i="4"/>
  <c r="N29" i="4"/>
  <c r="O17" i="5"/>
  <c r="N22" i="5"/>
  <c r="N17" i="1"/>
  <c r="N26" i="1"/>
  <c r="O26" i="1" s="1"/>
  <c r="N21" i="1"/>
  <c r="O21" i="1" s="1"/>
  <c r="N20" i="1"/>
  <c r="O20" i="1" s="1"/>
  <c r="M26" i="1"/>
  <c r="M21" i="1"/>
  <c r="M20" i="1"/>
  <c r="M19" i="1"/>
  <c r="M18" i="1"/>
  <c r="M17" i="1"/>
  <c r="O23" i="1" s="1"/>
  <c r="N11" i="1"/>
  <c r="N10" i="1"/>
  <c r="N7" i="1"/>
  <c r="M16" i="1" s="1"/>
  <c r="N6" i="1"/>
  <c r="O16" i="1" s="1"/>
  <c r="N5" i="1"/>
  <c r="N16" i="1" s="1"/>
  <c r="N4" i="1"/>
  <c r="N3" i="1"/>
  <c r="N2" i="1"/>
  <c r="N8" i="1" s="1"/>
  <c r="O22" i="5" l="1"/>
  <c r="O24" i="5" s="1"/>
  <c r="B30" i="5" s="1"/>
  <c r="N9" i="1"/>
  <c r="B30" i="4"/>
  <c r="O27" i="4"/>
  <c r="B29" i="4" s="1"/>
  <c r="O27" i="5"/>
  <c r="B29" i="5" s="1"/>
  <c r="C28" i="5"/>
  <c r="N29" i="5"/>
  <c r="O29" i="5"/>
  <c r="N24" i="5"/>
  <c r="N22" i="1"/>
  <c r="N29" i="1" s="1"/>
  <c r="O17" i="1"/>
  <c r="N1" i="1"/>
  <c r="H8" i="12"/>
  <c r="G8" i="12"/>
  <c r="H7" i="12"/>
  <c r="G7" i="12"/>
  <c r="H6" i="12"/>
  <c r="G6" i="12"/>
  <c r="H5" i="12"/>
  <c r="G5" i="12"/>
  <c r="H4" i="12"/>
  <c r="G4" i="12"/>
  <c r="H3" i="12"/>
  <c r="G3" i="12"/>
  <c r="B28" i="5" l="1"/>
  <c r="C30" i="5"/>
  <c r="N27" i="5"/>
  <c r="C29" i="5" s="1"/>
  <c r="N24" i="1"/>
  <c r="N27" i="1" s="1"/>
  <c r="O22" i="1"/>
  <c r="P13" i="11"/>
  <c r="P12" i="11"/>
  <c r="N13" i="11"/>
  <c r="L13" i="11"/>
  <c r="I13" i="11"/>
  <c r="F13" i="11"/>
  <c r="E13" i="11"/>
  <c r="B13" i="11"/>
  <c r="N12" i="11"/>
  <c r="L12" i="11"/>
  <c r="I12" i="11"/>
  <c r="F12" i="11"/>
  <c r="E12" i="11"/>
  <c r="B12" i="11"/>
  <c r="N5" i="11"/>
  <c r="N6" i="11"/>
  <c r="L5" i="11"/>
  <c r="L6" i="11"/>
  <c r="I6" i="11"/>
  <c r="I5" i="11"/>
  <c r="F6" i="11"/>
  <c r="B5" i="11"/>
  <c r="F5" i="11"/>
  <c r="B6" i="11"/>
  <c r="E6" i="11"/>
  <c r="E5" i="11"/>
  <c r="O24" i="1" l="1"/>
  <c r="O27" i="1" s="1"/>
  <c r="O29" i="1"/>
  <c r="B30" i="1" l="1"/>
  <c r="B28" i="1"/>
  <c r="C28" i="1"/>
  <c r="C30" i="1" l="1"/>
  <c r="C29" i="1"/>
  <c r="B29" i="1"/>
</calcChain>
</file>

<file path=xl/sharedStrings.xml><?xml version="1.0" encoding="utf-8"?>
<sst xmlns="http://schemas.openxmlformats.org/spreadsheetml/2006/main" count="620" uniqueCount="146">
  <si>
    <t>Pilot and Front Pax</t>
  </si>
  <si>
    <t>Fuel</t>
  </si>
  <si>
    <t>2nd Row Pax</t>
  </si>
  <si>
    <t>Takeoff</t>
  </si>
  <si>
    <t>Landing</t>
  </si>
  <si>
    <t>Moment</t>
  </si>
  <si>
    <t>Weight</t>
  </si>
  <si>
    <t>Baggage A</t>
  </si>
  <si>
    <t>Baggage B</t>
  </si>
  <si>
    <t>No Fuel</t>
  </si>
  <si>
    <t>N631CP</t>
  </si>
  <si>
    <t>N883CP</t>
  </si>
  <si>
    <t>N99871</t>
  </si>
  <si>
    <t>N950CP</t>
  </si>
  <si>
    <t>N-Number</t>
  </si>
  <si>
    <t>Type</t>
  </si>
  <si>
    <t>C172P</t>
  </si>
  <si>
    <t>C182TNAVIII</t>
  </si>
  <si>
    <t>DateCode</t>
  </si>
  <si>
    <t>Max Ramp Weight</t>
  </si>
  <si>
    <t>Basic Empty Wt</t>
  </si>
  <si>
    <t>EWCG</t>
  </si>
  <si>
    <t>Max Fuel Cap</t>
  </si>
  <si>
    <t>Norm Fuel Cap</t>
  </si>
  <si>
    <t>Fuel Arm</t>
  </si>
  <si>
    <t>Row 1 Arm</t>
  </si>
  <si>
    <t>Row 2 Arm</t>
  </si>
  <si>
    <t>Bag 1 Arm</t>
  </si>
  <si>
    <t>Bag 2 Arm</t>
  </si>
  <si>
    <t>Bag 3 Arm</t>
  </si>
  <si>
    <t>Max T/O Weight</t>
  </si>
  <si>
    <t>Max Lndg Weight</t>
  </si>
  <si>
    <t>Typical Bag Wt</t>
  </si>
  <si>
    <t>Center of Gravity Limits C172</t>
  </si>
  <si>
    <t>EW Moment</t>
  </si>
  <si>
    <t>LOADING GRAPH - C172</t>
  </si>
  <si>
    <t>Gallons</t>
  </si>
  <si>
    <t>Baggage C</t>
  </si>
  <si>
    <t>ARM</t>
  </si>
  <si>
    <t>ARM:</t>
  </si>
  <si>
    <t>LOADING GRAPH - C182/C182 NAVIII</t>
  </si>
  <si>
    <t>Call Sign</t>
  </si>
  <si>
    <t>Year</t>
  </si>
  <si>
    <t>Normal</t>
  </si>
  <si>
    <t>Utility</t>
  </si>
  <si>
    <t>Center Of Gravity 
Moment Envelope C172</t>
  </si>
  <si>
    <t>ARM
(in)</t>
  </si>
  <si>
    <t>Weight
(lbs)</t>
  </si>
  <si>
    <t>Date Code:</t>
  </si>
  <si>
    <t>Maximum Gross Ramp Weight</t>
  </si>
  <si>
    <t>Maximum Gross Takeoff Weight</t>
  </si>
  <si>
    <t>Maximum Landing Weight</t>
  </si>
  <si>
    <t>Basic Empty Weight</t>
  </si>
  <si>
    <t>Useful Load</t>
  </si>
  <si>
    <t>Useful Load with full fuel</t>
  </si>
  <si>
    <t>Empty Weight Moment</t>
  </si>
  <si>
    <t>Empty Weight CG</t>
  </si>
  <si>
    <t>Maximum Fuel Capacity</t>
  </si>
  <si>
    <t>lbs</t>
  </si>
  <si>
    <t>in-lbs</t>
  </si>
  <si>
    <t>in</t>
  </si>
  <si>
    <t>gals</t>
  </si>
  <si>
    <t>This information can be used for planning purposes as long as the data code is valid.  It is the pilot's responsibility to use the latest available information when calculating the weight and balance.</t>
  </si>
  <si>
    <t>Loading Problem</t>
  </si>
  <si>
    <t>Usable Fuel (gal)</t>
  </si>
  <si>
    <t>Pilot &amp; Front Pax</t>
  </si>
  <si>
    <t>Rear Seat Pax</t>
  </si>
  <si>
    <t>Baggage Area A</t>
  </si>
  <si>
    <t>Baggage Area B</t>
  </si>
  <si>
    <t>RAMP WEIGHT/MOMENT</t>
  </si>
  <si>
    <t>Startup Fuel Allowance</t>
  </si>
  <si>
    <t>Fuel Expended (gal)</t>
  </si>
  <si>
    <t>Locate point on the Center of Gravity Moment Envelope, mark with "X"</t>
  </si>
  <si>
    <t>Locate point on the Center of Gravity Moment Envelope, mark with "O"</t>
  </si>
  <si>
    <t>Locate point on the Center of Gravity Moment Envelope, mark with "E"</t>
  </si>
  <si>
    <t>Connect "X", "O", "E" marks.  If the points fall within the envelope, the loading is acceptable.</t>
  </si>
  <si>
    <t>TAKEOFF WEIGHT/MOMENT</t>
  </si>
  <si>
    <t>LANDING WEIGHT/MOMENT</t>
  </si>
  <si>
    <t>ZERO FUEL WEIGHT/MOMENT</t>
  </si>
  <si>
    <t xml:space="preserve">CAP 1171 </t>
  </si>
  <si>
    <t>"Installed" Baggage Weight</t>
  </si>
  <si>
    <t>"Installed Baggage" Weight</t>
  </si>
  <si>
    <r>
      <t xml:space="preserve">Moment
</t>
    </r>
    <r>
      <rPr>
        <b/>
        <sz val="8"/>
        <color theme="1"/>
        <rFont val="Calibri"/>
        <family val="2"/>
        <scheme val="minor"/>
      </rPr>
      <t>(in-lbs/1000)</t>
    </r>
  </si>
  <si>
    <t>Center of Gravity Limits C182T</t>
  </si>
  <si>
    <t>Center Of Gravity 
Moment Envelope C182T</t>
  </si>
  <si>
    <t>Baggage Area C</t>
  </si>
  <si>
    <t>2005 Cessna 182TNAVIII - N631CP</t>
  </si>
  <si>
    <t xml:space="preserve">CAP 1183 </t>
  </si>
  <si>
    <t>2009 Cessna 182TNAVIII - N883CP</t>
  </si>
  <si>
    <t xml:space="preserve">CAP 1150 </t>
  </si>
  <si>
    <t>2009 Cessna 182TNAVIII - N950CP</t>
  </si>
  <si>
    <t>Center of Gravity Limits C182R</t>
  </si>
  <si>
    <t>Center Of Gravity 
Moment Envelope C182R</t>
  </si>
  <si>
    <t>1986 Cessna 172P - N99871</t>
  </si>
  <si>
    <t>Date</t>
  </si>
  <si>
    <t>Reason for Change</t>
  </si>
  <si>
    <t>Fixed N-number N9947L -&gt; N9447L</t>
  </si>
  <si>
    <t>New empty weight, arm and empty moment for N9447L</t>
  </si>
  <si>
    <t>New empty weight, arm and empty moment for N9887L</t>
  </si>
  <si>
    <t>Who</t>
  </si>
  <si>
    <t>Baumgartner, Gerry</t>
  </si>
  <si>
    <t>C172S</t>
  </si>
  <si>
    <t>Added sheet for N305CP, a C172S G1000</t>
  </si>
  <si>
    <t>N839CP</t>
  </si>
  <si>
    <t>2015 Cessna 172S - N839CP</t>
  </si>
  <si>
    <t>Replaced N305CP with N839CP, a C172S G1000</t>
  </si>
  <si>
    <t>Center of Gravity Limits GA8</t>
  </si>
  <si>
    <t>Center Of Gravity 
Moment Envelope GA8</t>
  </si>
  <si>
    <t>GA8</t>
  </si>
  <si>
    <t>LOADING GRAPH - GA8</t>
  </si>
  <si>
    <t>3rd Row Pax</t>
  </si>
  <si>
    <t>4th Row Pax</t>
  </si>
  <si>
    <t>2004 Gippsland GA8</t>
  </si>
  <si>
    <t>Row 2 Pax</t>
  </si>
  <si>
    <t>Row 3 Pax</t>
  </si>
  <si>
    <t>Row 4 Pax</t>
  </si>
  <si>
    <t>Baggage Shelf (250# max)</t>
  </si>
  <si>
    <t>Aft Baggage Bin (50# max)</t>
  </si>
  <si>
    <t>N470CP</t>
  </si>
  <si>
    <t>CAP 1170</t>
  </si>
  <si>
    <t>Updated 323KW W&amp;B</t>
  </si>
  <si>
    <t xml:space="preserve"> N815CP - Added (replaced hidden N821CP)</t>
  </si>
  <si>
    <t>Updated Fleet for transfers of AC out.  Updated wt and balance data, segregated stats by mfg.</t>
  </si>
  <si>
    <t>Wirth, Gerald</t>
  </si>
  <si>
    <t>Row 3 Arm</t>
  </si>
  <si>
    <t>Row 4 Arm</t>
  </si>
  <si>
    <t>Removed N9447L - Retired.  Added N99566 Loaner from KY</t>
  </si>
  <si>
    <t>N99566</t>
  </si>
  <si>
    <t xml:space="preserve">CAP 1566                      </t>
  </si>
  <si>
    <t>1985 Cessna 172P - N99566</t>
  </si>
  <si>
    <t>Modifed N631 data per 1/20/22 re wiegh</t>
  </si>
  <si>
    <t>Modified N470CP with new wt and bal information</t>
  </si>
  <si>
    <t>N943CP</t>
  </si>
  <si>
    <t>Added N943CP</t>
  </si>
  <si>
    <t>Hid N943CP</t>
  </si>
  <si>
    <t>CAP 1139</t>
  </si>
  <si>
    <t xml:space="preserve">CAP 1131
</t>
  </si>
  <si>
    <t>N899CP</t>
  </si>
  <si>
    <t>CAP 4828</t>
  </si>
  <si>
    <t>2006 Cessna 182TNAVIII - N899CP</t>
  </si>
  <si>
    <t>Added WI Loaner N899CP</t>
  </si>
  <si>
    <t>Updated N950CP</t>
  </si>
  <si>
    <t>N99589</t>
  </si>
  <si>
    <t>1985 Cessna 172P - N99589</t>
  </si>
  <si>
    <t xml:space="preserve">CAP 1189 </t>
  </si>
  <si>
    <t>Hid N899CP and N839CP (No Longer IL) Changed N98381 to N99589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</si>
</sst>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409]d\-mmm\-yyyy;@"/>
    <numFmt numFmtId="166" formatCode="_(* #,##0_);_(* \(#,##0\);_(* &quot;-&quot;??_);_(@_)"/>
  </numFmts>
  <fonts count="8" x14ac:knownFonts="1">
    <font>
      <sz val="11"/>
      <color theme="1"/>
      <name val="Calibri"/>
      <family val="2"/>
      <scheme val="minor"/>
    </font>
    <font>
      <sz val="36"/>
      <color theme="1"/>
      <name val="Calibri"/>
      <family val="2"/>
      <scheme val="minor"/>
    </font>
    <font>
      <b/>
      <sz val="24"/>
      <color theme="1"/>
      <name val="Times New Roman"/>
      <family val="1"/>
    </font>
    <font>
      <b/>
      <sz val="11"/>
      <color theme="1"/>
      <name val="Calibri"/>
      <family val="2"/>
      <scheme val="minor"/>
    </font>
    <font>
      <b/>
      <sz val="8"/>
      <color theme="1"/>
      <name val="Calibri"/>
      <family val="2"/>
      <scheme val="minor"/>
    </font>
    <font>
      <b/>
      <sz val="18"/>
      <color theme="1"/>
      <name val="Calibri"/>
      <family val="2"/>
      <scheme val="minor"/>
    </font>
    <font>
      <sz val="8"/>
      <name val="Calibri"/>
      <family val="2"/>
      <scheme val="minor"/>
    </font>
    <font>
      <sz val="11"/>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rgb="FF00B050"/>
        <bgColor indexed="64"/>
      </patternFill>
    </fill>
    <fill>
      <patternFill patternType="solid">
        <fgColor theme="9"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bottom/>
      <diagonal/>
    </border>
    <border>
      <left/>
      <right style="thin">
        <color auto="1"/>
      </right>
      <top/>
      <bottom style="thin">
        <color auto="1"/>
      </bottom>
      <diagonal/>
    </border>
    <border>
      <left/>
      <right/>
      <top style="thin">
        <color auto="1"/>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right style="thin">
        <color auto="1"/>
      </right>
      <top/>
      <bottom/>
      <diagonal/>
    </border>
  </borders>
  <cellStyleXfs count="2">
    <xf numFmtId="0" fontId="0" fillId="0" borderId="0"/>
    <xf numFmtId="43" fontId="7" fillId="0" borderId="0" applyFont="0" applyFill="0" applyBorder="0" applyAlignment="0" applyProtection="0"/>
  </cellStyleXfs>
  <cellXfs count="98">
    <xf numFmtId="0" fontId="0" fillId="0" borderId="0" xfId="0"/>
    <xf numFmtId="0" fontId="1" fillId="0" borderId="0" xfId="0" applyFont="1"/>
    <xf numFmtId="2" fontId="0" fillId="0" borderId="0" xfId="0" applyNumberFormat="1"/>
    <xf numFmtId="164" fontId="0" fillId="0" borderId="0" xfId="0" applyNumberFormat="1"/>
    <xf numFmtId="0" fontId="0" fillId="0" borderId="0" xfId="0" applyAlignment="1">
      <alignment horizontal="center"/>
    </xf>
    <xf numFmtId="0" fontId="0" fillId="2" borderId="0" xfId="0" applyFill="1" applyAlignment="1">
      <alignment horizontal="center"/>
    </xf>
    <xf numFmtId="0" fontId="3" fillId="0" borderId="0" xfId="0" applyFont="1" applyAlignment="1">
      <alignment horizontal="center" wrapText="1"/>
    </xf>
    <xf numFmtId="0" fontId="3" fillId="0" borderId="6" xfId="0" applyFont="1" applyBorder="1" applyAlignment="1">
      <alignment horizontal="center" wrapText="1"/>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0" fillId="3" borderId="0" xfId="0" applyFill="1"/>
    <xf numFmtId="0" fontId="0" fillId="3" borderId="11" xfId="0" applyFill="1" applyBorder="1"/>
    <xf numFmtId="0" fontId="3" fillId="0" borderId="1" xfId="0" applyFont="1" applyBorder="1" applyAlignment="1">
      <alignment horizontal="right" vertical="top" wrapText="1"/>
    </xf>
    <xf numFmtId="0" fontId="0" fillId="0" borderId="2" xfId="0" applyBorder="1" applyAlignment="1">
      <alignment vertical="center"/>
    </xf>
    <xf numFmtId="0" fontId="0" fillId="0" borderId="3" xfId="0" applyBorder="1" applyAlignment="1">
      <alignment vertical="center"/>
    </xf>
    <xf numFmtId="0" fontId="0" fillId="0" borderId="1" xfId="0" applyBorder="1" applyAlignment="1">
      <alignment vertical="center"/>
    </xf>
    <xf numFmtId="2" fontId="0" fillId="0" borderId="1" xfId="0" applyNumberFormat="1" applyBorder="1" applyAlignment="1">
      <alignment vertical="center"/>
    </xf>
    <xf numFmtId="0" fontId="3" fillId="0" borderId="2" xfId="0" applyFont="1" applyBorder="1" applyAlignment="1">
      <alignment vertical="center"/>
    </xf>
    <xf numFmtId="0" fontId="0" fillId="0" borderId="0" xfId="0" applyAlignment="1">
      <alignment vertical="center"/>
    </xf>
    <xf numFmtId="0" fontId="0" fillId="0" borderId="4" xfId="0" applyBorder="1" applyAlignment="1">
      <alignment vertical="center"/>
    </xf>
    <xf numFmtId="164" fontId="0" fillId="0" borderId="1" xfId="0" applyNumberFormat="1" applyBorder="1" applyAlignment="1">
      <alignment vertical="center"/>
    </xf>
    <xf numFmtId="0" fontId="0" fillId="0" borderId="17" xfId="0" applyBorder="1" applyAlignment="1">
      <alignment vertical="center"/>
    </xf>
    <xf numFmtId="0" fontId="0" fillId="0" borderId="5" xfId="0" applyBorder="1" applyAlignment="1">
      <alignment vertical="center"/>
    </xf>
    <xf numFmtId="0" fontId="0" fillId="3" borderId="18" xfId="0" applyFill="1" applyBorder="1" applyAlignment="1">
      <alignment vertical="center"/>
    </xf>
    <xf numFmtId="164" fontId="0" fillId="0" borderId="19" xfId="0" applyNumberFormat="1" applyBorder="1" applyAlignment="1">
      <alignment vertical="center"/>
    </xf>
    <xf numFmtId="2" fontId="0" fillId="0" borderId="19" xfId="0" applyNumberFormat="1" applyBorder="1" applyAlignment="1">
      <alignment vertical="center"/>
    </xf>
    <xf numFmtId="164" fontId="0" fillId="0" borderId="18" xfId="0" applyNumberFormat="1" applyBorder="1" applyAlignment="1">
      <alignment vertical="center"/>
    </xf>
    <xf numFmtId="2" fontId="0" fillId="0" borderId="18" xfId="0" applyNumberFormat="1" applyBorder="1" applyAlignment="1">
      <alignment vertical="center"/>
    </xf>
    <xf numFmtId="164" fontId="0" fillId="0" borderId="15" xfId="0" applyNumberFormat="1" applyBorder="1" applyAlignment="1">
      <alignment vertical="center"/>
    </xf>
    <xf numFmtId="2" fontId="0" fillId="0" borderId="15" xfId="0" applyNumberFormat="1" applyBorder="1" applyAlignment="1">
      <alignment vertical="center"/>
    </xf>
    <xf numFmtId="0" fontId="3" fillId="0" borderId="0" xfId="0" applyFont="1"/>
    <xf numFmtId="165" fontId="3" fillId="0" borderId="0" xfId="0" applyNumberFormat="1" applyFont="1"/>
    <xf numFmtId="165" fontId="0" fillId="0" borderId="0" xfId="0" applyNumberFormat="1"/>
    <xf numFmtId="0" fontId="0" fillId="0" borderId="17" xfId="0" applyBorder="1"/>
    <xf numFmtId="164" fontId="0" fillId="0" borderId="4" xfId="0" applyNumberFormat="1" applyBorder="1" applyAlignment="1">
      <alignment vertical="center"/>
    </xf>
    <xf numFmtId="15" fontId="0" fillId="0" borderId="0" xfId="0" applyNumberFormat="1"/>
    <xf numFmtId="2" fontId="0" fillId="0" borderId="0" xfId="0" applyNumberFormat="1" applyAlignment="1">
      <alignment horizontal="center"/>
    </xf>
    <xf numFmtId="43" fontId="0" fillId="0" borderId="0" xfId="1" applyFont="1"/>
    <xf numFmtId="166" fontId="0" fillId="0" borderId="0" xfId="1" applyNumberFormat="1" applyFont="1"/>
    <xf numFmtId="0" fontId="0" fillId="4" borderId="0" xfId="0" applyFill="1"/>
    <xf numFmtId="0" fontId="0" fillId="4" borderId="0" xfId="0" applyFill="1" applyAlignment="1">
      <alignment horizontal="center"/>
    </xf>
    <xf numFmtId="15" fontId="0" fillId="4" borderId="0" xfId="0" applyNumberFormat="1" applyFill="1"/>
    <xf numFmtId="166" fontId="0" fillId="4" borderId="0" xfId="1" applyNumberFormat="1" applyFont="1" applyFill="1"/>
    <xf numFmtId="43" fontId="0" fillId="4" borderId="0" xfId="1" applyFont="1" applyFill="1"/>
    <xf numFmtId="166" fontId="0" fillId="0" borderId="0" xfId="1" applyNumberFormat="1" applyFont="1" applyFill="1"/>
    <xf numFmtId="43" fontId="0" fillId="0" borderId="0" xfId="1" applyFont="1" applyFill="1"/>
    <xf numFmtId="0" fontId="4" fillId="0" borderId="0" xfId="0" applyFont="1" applyAlignment="1">
      <alignment horizontal="center" vertical="top" wrapText="1"/>
    </xf>
    <xf numFmtId="0" fontId="4" fillId="0" borderId="5" xfId="0" applyFont="1" applyBorder="1" applyAlignment="1">
      <alignment horizontal="center" vertical="top" wrapText="1"/>
    </xf>
    <xf numFmtId="0" fontId="2" fillId="0" borderId="2" xfId="0" applyFont="1" applyBorder="1" applyAlignment="1">
      <alignment vertical="center"/>
    </xf>
    <xf numFmtId="0" fontId="2" fillId="0" borderId="3" xfId="0" applyFont="1" applyBorder="1" applyAlignment="1">
      <alignmen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0" fillId="0" borderId="13" xfId="0" applyBorder="1" applyAlignment="1">
      <alignment horizontal="right" vertical="center"/>
    </xf>
    <xf numFmtId="165" fontId="0" fillId="0" borderId="13" xfId="0" applyNumberFormat="1" applyBorder="1" applyAlignment="1">
      <alignment vertical="center"/>
    </xf>
    <xf numFmtId="0" fontId="0" fillId="4" borderId="2" xfId="0" applyFill="1" applyBorder="1"/>
    <xf numFmtId="0" fontId="0" fillId="4" borderId="3" xfId="0" applyFill="1" applyBorder="1"/>
    <xf numFmtId="0" fontId="0" fillId="4" borderId="4" xfId="0" applyFill="1" applyBorder="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17" xfId="0" applyBorder="1" applyAlignment="1">
      <alignment vertical="center"/>
    </xf>
    <xf numFmtId="0" fontId="0" fillId="0" borderId="5"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20"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8" borderId="2" xfId="0" applyFill="1" applyBorder="1"/>
    <xf numFmtId="0" fontId="0" fillId="8" borderId="3" xfId="0" applyFill="1" applyBorder="1"/>
    <xf numFmtId="0" fontId="0" fillId="8" borderId="4" xfId="0" applyFill="1" applyBorder="1"/>
    <xf numFmtId="0" fontId="0" fillId="7" borderId="2" xfId="0" applyFill="1" applyBorder="1"/>
    <xf numFmtId="0" fontId="0" fillId="7" borderId="3" xfId="0" applyFill="1" applyBorder="1"/>
    <xf numFmtId="0" fontId="0" fillId="7" borderId="4" xfId="0" applyFill="1" applyBorder="1"/>
    <xf numFmtId="0" fontId="0" fillId="6" borderId="2" xfId="0" applyFill="1" applyBorder="1"/>
    <xf numFmtId="0" fontId="0" fillId="6" borderId="3" xfId="0" applyFill="1" applyBorder="1"/>
    <xf numFmtId="0" fontId="0" fillId="6" borderId="4" xfId="0" applyFill="1" applyBorder="1"/>
    <xf numFmtId="0" fontId="0" fillId="9" borderId="2" xfId="0" applyFill="1" applyBorder="1"/>
    <xf numFmtId="0" fontId="0" fillId="9" borderId="3" xfId="0" applyFill="1" applyBorder="1"/>
    <xf numFmtId="0" fontId="0" fillId="9" borderId="4" xfId="0" applyFill="1" applyBorder="1"/>
    <xf numFmtId="0" fontId="0" fillId="2" borderId="2" xfId="0" applyFill="1" applyBorder="1"/>
    <xf numFmtId="0" fontId="0" fillId="2" borderId="3" xfId="0" applyFill="1" applyBorder="1"/>
    <xf numFmtId="0" fontId="0" fillId="2" borderId="4" xfId="0" applyFill="1" applyBorder="1"/>
    <xf numFmtId="0" fontId="0" fillId="5" borderId="2" xfId="0" applyFill="1" applyBorder="1"/>
    <xf numFmtId="0" fontId="0" fillId="5" borderId="3" xfId="0" applyFill="1" applyBorder="1"/>
    <xf numFmtId="0" fontId="0" fillId="5" borderId="4" xfId="0" applyFill="1" applyBorder="1"/>
    <xf numFmtId="0" fontId="0" fillId="0" borderId="5" xfId="0" applyBorder="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0" xfId="0" applyAlignment="1">
      <alignment horizontal="center" wrapText="1"/>
    </xf>
  </cellXfs>
  <cellStyles count="2">
    <cellStyle name="Comma" xfId="1" builtinId="3"/>
    <cellStyle name="Normal" xfId="0" builtinId="0"/>
  </cellStyles>
  <dxfs count="8">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LOADING GRAPH</a:t>
            </a:r>
          </a:p>
        </c:rich>
      </c:tx>
      <c:layout>
        <c:manualLayout>
          <c:xMode val="edge"/>
          <c:yMode val="edge"/>
          <c:x val="0.17511154855643044"/>
          <c:y val="0.13492063492063491"/>
        </c:manualLayout>
      </c:layout>
      <c:overlay val="1"/>
      <c:spPr>
        <a:solidFill>
          <a:schemeClr val="bg1"/>
        </a:solidFill>
      </c:spPr>
    </c:title>
    <c:autoTitleDeleted val="0"/>
    <c:plotArea>
      <c:layout/>
      <c:scatterChart>
        <c:scatterStyle val="lineMarker"/>
        <c:varyColors val="0"/>
        <c:ser>
          <c:idx val="0"/>
          <c:order val="0"/>
          <c:tx>
            <c:v>Pilot &amp; Front Pax</c:v>
          </c:tx>
          <c:marker>
            <c:symbol val="none"/>
          </c:marker>
          <c:xVal>
            <c:numRef>
              <c:f>'Loading Graph Data'!$B$5:$B$6</c:f>
              <c:numCache>
                <c:formatCode>General</c:formatCode>
                <c:ptCount val="2"/>
                <c:pt idx="0">
                  <c:v>0</c:v>
                </c:pt>
                <c:pt idx="1">
                  <c:v>16.649999999999999</c:v>
                </c:pt>
              </c:numCache>
            </c:numRef>
          </c:xVal>
          <c:yVal>
            <c:numRef>
              <c:f>'Loading Graph Data'!$A$5:$A$6</c:f>
              <c:numCache>
                <c:formatCode>General</c:formatCode>
                <c:ptCount val="2"/>
                <c:pt idx="0">
                  <c:v>0</c:v>
                </c:pt>
                <c:pt idx="1">
                  <c:v>450</c:v>
                </c:pt>
              </c:numCache>
            </c:numRef>
          </c:yVal>
          <c:smooth val="0"/>
          <c:extLst>
            <c:ext xmlns:c16="http://schemas.microsoft.com/office/drawing/2014/chart" uri="{C3380CC4-5D6E-409C-BE32-E72D297353CC}">
              <c16:uniqueId val="{00000000-8F58-4F63-8B6E-25E6CAA21C50}"/>
            </c:ext>
          </c:extLst>
        </c:ser>
        <c:ser>
          <c:idx val="1"/>
          <c:order val="1"/>
          <c:tx>
            <c:v>Fuel</c:v>
          </c:tx>
          <c:marker>
            <c:symbol val="none"/>
          </c:marker>
          <c:xVal>
            <c:numRef>
              <c:f>'Loading Graph Data'!$F$12:$F$13</c:f>
              <c:numCache>
                <c:formatCode>General</c:formatCode>
                <c:ptCount val="2"/>
                <c:pt idx="0">
                  <c:v>0</c:v>
                </c:pt>
                <c:pt idx="1">
                  <c:v>24.273</c:v>
                </c:pt>
              </c:numCache>
            </c:numRef>
          </c:xVal>
          <c:yVal>
            <c:numRef>
              <c:f>'Loading Graph Data'!$E$12:$E$13</c:f>
              <c:numCache>
                <c:formatCode>General</c:formatCode>
                <c:ptCount val="2"/>
                <c:pt idx="0">
                  <c:v>0</c:v>
                </c:pt>
                <c:pt idx="1">
                  <c:v>522</c:v>
                </c:pt>
              </c:numCache>
            </c:numRef>
          </c:yVal>
          <c:smooth val="0"/>
          <c:extLst>
            <c:ext xmlns:c16="http://schemas.microsoft.com/office/drawing/2014/chart" uri="{C3380CC4-5D6E-409C-BE32-E72D297353CC}">
              <c16:uniqueId val="{00000001-8F58-4F63-8B6E-25E6CAA21C50}"/>
            </c:ext>
          </c:extLst>
        </c:ser>
        <c:ser>
          <c:idx val="2"/>
          <c:order val="2"/>
          <c:tx>
            <c:v>2nd Row Pax</c:v>
          </c:tx>
          <c:marker>
            <c:symbol val="none"/>
          </c:marker>
          <c:xVal>
            <c:numRef>
              <c:f>'Loading Graph Data'!$I$12:$I$13</c:f>
              <c:numCache>
                <c:formatCode>General</c:formatCode>
                <c:ptCount val="2"/>
                <c:pt idx="0">
                  <c:v>0</c:v>
                </c:pt>
                <c:pt idx="1">
                  <c:v>33.299999999999997</c:v>
                </c:pt>
              </c:numCache>
            </c:numRef>
          </c:xVal>
          <c:yVal>
            <c:numRef>
              <c:f>'Loading Graph Data'!$H$12:$H$13</c:f>
              <c:numCache>
                <c:formatCode>General</c:formatCode>
                <c:ptCount val="2"/>
                <c:pt idx="0">
                  <c:v>0</c:v>
                </c:pt>
                <c:pt idx="1">
                  <c:v>450</c:v>
                </c:pt>
              </c:numCache>
            </c:numRef>
          </c:yVal>
          <c:smooth val="0"/>
          <c:extLst>
            <c:ext xmlns:c16="http://schemas.microsoft.com/office/drawing/2014/chart" uri="{C3380CC4-5D6E-409C-BE32-E72D297353CC}">
              <c16:uniqueId val="{00000002-8F58-4F63-8B6E-25E6CAA21C50}"/>
            </c:ext>
          </c:extLst>
        </c:ser>
        <c:ser>
          <c:idx val="3"/>
          <c:order val="3"/>
          <c:tx>
            <c:v>Baggage A</c:v>
          </c:tx>
          <c:marker>
            <c:symbol val="none"/>
          </c:marker>
          <c:xVal>
            <c:numRef>
              <c:f>'Loading Graph Data'!$L$12:$L$13</c:f>
              <c:numCache>
                <c:formatCode>0.00</c:formatCode>
                <c:ptCount val="2"/>
                <c:pt idx="0">
                  <c:v>0</c:v>
                </c:pt>
                <c:pt idx="1">
                  <c:v>11.64</c:v>
                </c:pt>
              </c:numCache>
            </c:numRef>
          </c:xVal>
          <c:yVal>
            <c:numRef>
              <c:f>'Loading Graph Data'!$K$12:$K$13</c:f>
              <c:numCache>
                <c:formatCode>General</c:formatCode>
                <c:ptCount val="2"/>
                <c:pt idx="0">
                  <c:v>0</c:v>
                </c:pt>
                <c:pt idx="1">
                  <c:v>120</c:v>
                </c:pt>
              </c:numCache>
            </c:numRef>
          </c:yVal>
          <c:smooth val="0"/>
          <c:extLst>
            <c:ext xmlns:c16="http://schemas.microsoft.com/office/drawing/2014/chart" uri="{C3380CC4-5D6E-409C-BE32-E72D297353CC}">
              <c16:uniqueId val="{00000003-8F58-4F63-8B6E-25E6CAA21C50}"/>
            </c:ext>
          </c:extLst>
        </c:ser>
        <c:ser>
          <c:idx val="4"/>
          <c:order val="4"/>
          <c:tx>
            <c:v>Baggage B</c:v>
          </c:tx>
          <c:marker>
            <c:symbol val="none"/>
          </c:marker>
          <c:xVal>
            <c:numRef>
              <c:f>'Loading Graph Data'!$N$12:$N$13</c:f>
              <c:numCache>
                <c:formatCode>0.00</c:formatCode>
                <c:ptCount val="2"/>
                <c:pt idx="0">
                  <c:v>0</c:v>
                </c:pt>
                <c:pt idx="1">
                  <c:v>9.2799999999999994</c:v>
                </c:pt>
              </c:numCache>
            </c:numRef>
          </c:xVal>
          <c:yVal>
            <c:numRef>
              <c:f>'Loading Graph Data'!$M$12:$M$13</c:f>
              <c:numCache>
                <c:formatCode>General</c:formatCode>
                <c:ptCount val="2"/>
                <c:pt idx="0">
                  <c:v>0</c:v>
                </c:pt>
                <c:pt idx="1">
                  <c:v>80</c:v>
                </c:pt>
              </c:numCache>
            </c:numRef>
          </c:yVal>
          <c:smooth val="0"/>
          <c:extLst>
            <c:ext xmlns:c16="http://schemas.microsoft.com/office/drawing/2014/chart" uri="{C3380CC4-5D6E-409C-BE32-E72D297353CC}">
              <c16:uniqueId val="{00000004-8F58-4F63-8B6E-25E6CAA21C50}"/>
            </c:ext>
          </c:extLst>
        </c:ser>
        <c:ser>
          <c:idx val="5"/>
          <c:order val="5"/>
          <c:tx>
            <c:v>Baggage C</c:v>
          </c:tx>
          <c:marker>
            <c:symbol val="none"/>
          </c:marker>
          <c:xVal>
            <c:numRef>
              <c:f>'Loading Graph Data'!$P$12:$P$13</c:f>
              <c:numCache>
                <c:formatCode>0.00</c:formatCode>
                <c:ptCount val="2"/>
                <c:pt idx="0">
                  <c:v>0</c:v>
                </c:pt>
                <c:pt idx="1">
                  <c:v>10.32</c:v>
                </c:pt>
              </c:numCache>
            </c:numRef>
          </c:xVal>
          <c:yVal>
            <c:numRef>
              <c:f>'Loading Graph Data'!$O$12:$O$13</c:f>
              <c:numCache>
                <c:formatCode>General</c:formatCode>
                <c:ptCount val="2"/>
                <c:pt idx="0">
                  <c:v>0</c:v>
                </c:pt>
                <c:pt idx="1">
                  <c:v>80</c:v>
                </c:pt>
              </c:numCache>
            </c:numRef>
          </c:yVal>
          <c:smooth val="0"/>
          <c:extLst>
            <c:ext xmlns:c16="http://schemas.microsoft.com/office/drawing/2014/chart" uri="{C3380CC4-5D6E-409C-BE32-E72D297353CC}">
              <c16:uniqueId val="{00000005-8F58-4F63-8B6E-25E6CAA21C50}"/>
            </c:ext>
          </c:extLst>
        </c:ser>
        <c:dLbls>
          <c:showLegendKey val="0"/>
          <c:showVal val="0"/>
          <c:showCatName val="0"/>
          <c:showSerName val="0"/>
          <c:showPercent val="0"/>
          <c:showBubbleSize val="0"/>
        </c:dLbls>
        <c:axId val="46755200"/>
        <c:axId val="46773760"/>
      </c:scatterChart>
      <c:valAx>
        <c:axId val="46755200"/>
        <c:scaling>
          <c:orientation val="minMax"/>
        </c:scaling>
        <c:delete val="0"/>
        <c:axPos val="b"/>
        <c:majorGridlines/>
        <c:minorGridlines/>
        <c:title>
          <c:tx>
            <c:rich>
              <a:bodyPr/>
              <a:lstStyle/>
              <a:p>
                <a:pPr>
                  <a:defRPr sz="800"/>
                </a:pPr>
                <a:r>
                  <a:rPr lang="en-US" sz="800" b="1"/>
                  <a:t>LOAD MOMENT / 1000 (POUND-INCHES)</a:t>
                </a:r>
              </a:p>
            </c:rich>
          </c:tx>
          <c:overlay val="0"/>
        </c:title>
        <c:numFmt formatCode="General" sourceLinked="1"/>
        <c:majorTickMark val="none"/>
        <c:minorTickMark val="none"/>
        <c:tickLblPos val="nextTo"/>
        <c:crossAx val="46773760"/>
        <c:crosses val="autoZero"/>
        <c:crossBetween val="midCat"/>
      </c:valAx>
      <c:valAx>
        <c:axId val="46773760"/>
        <c:scaling>
          <c:orientation val="minMax"/>
        </c:scaling>
        <c:delete val="0"/>
        <c:axPos val="l"/>
        <c:majorGridlines/>
        <c:minorGridlines/>
        <c:title>
          <c:tx>
            <c:rich>
              <a:bodyPr rot="-5400000" vert="horz"/>
              <a:lstStyle/>
              <a:p>
                <a:pPr>
                  <a:defRPr sz="800"/>
                </a:pPr>
                <a:r>
                  <a:rPr lang="en-US" sz="800"/>
                  <a:t>LOAD WEIGHT (POUNDS)</a:t>
                </a:r>
              </a:p>
            </c:rich>
          </c:tx>
          <c:overlay val="0"/>
        </c:title>
        <c:numFmt formatCode="General" sourceLinked="1"/>
        <c:majorTickMark val="none"/>
        <c:minorTickMark val="none"/>
        <c:tickLblPos val="nextTo"/>
        <c:crossAx val="46755200"/>
        <c:crosses val="autoZero"/>
        <c:crossBetween val="midCat"/>
      </c:valAx>
    </c:plotArea>
    <c:legend>
      <c:legendPos val="r"/>
      <c:layout>
        <c:manualLayout>
          <c:xMode val="edge"/>
          <c:yMode val="edge"/>
          <c:x val="0.69416526059242589"/>
          <c:y val="0.47259170347608986"/>
          <c:w val="0.23440616797900263"/>
          <c:h val="0.34122591383394146"/>
        </c:manualLayout>
      </c:layout>
      <c:overlay val="1"/>
      <c:spPr>
        <a:solidFill>
          <a:schemeClr val="bg1"/>
        </a:solidFill>
      </c:spPr>
    </c:legend>
    <c:plotVisOnly val="1"/>
    <c:dispBlanksAs val="gap"/>
    <c:showDLblsOverMax val="0"/>
  </c:chart>
  <c:txPr>
    <a:bodyPr/>
    <a:lstStyle/>
    <a:p>
      <a:pPr>
        <a:defRPr sz="700"/>
      </a:pPr>
      <a:endParaRPr lang="en-US"/>
    </a:p>
  </c:txPr>
  <c:printSettings>
    <c:headerFooter/>
    <c:pageMargins b="0.75" l="0.7" r="0.7" t="0.75" header="0.3" footer="0.3"/>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ctr" anchorCtr="1"/>
          <a:lstStyle/>
          <a:p>
            <a:pPr>
              <a:defRPr/>
            </a:pPr>
            <a:r>
              <a:rPr lang="en-US"/>
              <a:t>CENTER OF GRAVITY MOMENT ENVELOPE</a:t>
            </a:r>
          </a:p>
        </c:rich>
      </c:tx>
      <c:layout>
        <c:manualLayout>
          <c:xMode val="edge"/>
          <c:yMode val="edge"/>
          <c:x val="0.15546869141357331"/>
          <c:y val="7.8321666821332625E-2"/>
        </c:manualLayout>
      </c:layout>
      <c:overlay val="1"/>
      <c:spPr>
        <a:solidFill>
          <a:schemeClr val="bg1"/>
        </a:solidFill>
      </c:spPr>
    </c:title>
    <c:autoTitleDeleted val="0"/>
    <c:plotArea>
      <c:layout/>
      <c:scatterChart>
        <c:scatterStyle val="lineMarker"/>
        <c:varyColors val="0"/>
        <c:ser>
          <c:idx val="0"/>
          <c:order val="0"/>
          <c:tx>
            <c:v>Takeoff &amp; Landing</c:v>
          </c:tx>
          <c:marker>
            <c:symbol val="none"/>
          </c:marker>
          <c:xVal>
            <c:numRef>
              <c:f>'Moment Envelope Data'!$G$12:$G$17</c:f>
              <c:numCache>
                <c:formatCode>General</c:formatCode>
                <c:ptCount val="6"/>
                <c:pt idx="0">
                  <c:v>59.4</c:v>
                </c:pt>
                <c:pt idx="1">
                  <c:v>74.25</c:v>
                </c:pt>
                <c:pt idx="2">
                  <c:v>95.85</c:v>
                </c:pt>
                <c:pt idx="3">
                  <c:v>115.19749999999999</c:v>
                </c:pt>
                <c:pt idx="4">
                  <c:v>135.69999999999999</c:v>
                </c:pt>
                <c:pt idx="5">
                  <c:v>82.8</c:v>
                </c:pt>
              </c:numCache>
            </c:numRef>
          </c:xVal>
          <c:yVal>
            <c:numRef>
              <c:f>'Moment Envelope Data'!$A$12:$A$17</c:f>
              <c:numCache>
                <c:formatCode>General</c:formatCode>
                <c:ptCount val="6"/>
                <c:pt idx="0">
                  <c:v>1800</c:v>
                </c:pt>
                <c:pt idx="1">
                  <c:v>2250</c:v>
                </c:pt>
                <c:pt idx="2">
                  <c:v>2700</c:v>
                </c:pt>
                <c:pt idx="3">
                  <c:v>2950</c:v>
                </c:pt>
                <c:pt idx="4">
                  <c:v>2950</c:v>
                </c:pt>
                <c:pt idx="5">
                  <c:v>1800</c:v>
                </c:pt>
              </c:numCache>
            </c:numRef>
          </c:yVal>
          <c:smooth val="0"/>
          <c:extLst>
            <c:ext xmlns:c16="http://schemas.microsoft.com/office/drawing/2014/chart" uri="{C3380CC4-5D6E-409C-BE32-E72D297353CC}">
              <c16:uniqueId val="{00000000-892D-45E7-AA5F-328DDC3910F3}"/>
            </c:ext>
          </c:extLst>
        </c:ser>
        <c:ser>
          <c:idx val="1"/>
          <c:order val="1"/>
          <c:tx>
            <c:v>Takeoff Only</c:v>
          </c:tx>
          <c:marker>
            <c:symbol val="none"/>
          </c:marker>
          <c:xVal>
            <c:numRef>
              <c:f>'Moment Envelope Data'!$G$20:$G$23</c:f>
              <c:numCache>
                <c:formatCode>General</c:formatCode>
                <c:ptCount val="4"/>
                <c:pt idx="0">
                  <c:v>115.19749999999999</c:v>
                </c:pt>
                <c:pt idx="1">
                  <c:v>126.79</c:v>
                </c:pt>
                <c:pt idx="2">
                  <c:v>142.6</c:v>
                </c:pt>
                <c:pt idx="3">
                  <c:v>135.69999999999999</c:v>
                </c:pt>
              </c:numCache>
            </c:numRef>
          </c:xVal>
          <c:yVal>
            <c:numRef>
              <c:f>'Moment Envelope Data'!$A$20:$A$23</c:f>
              <c:numCache>
                <c:formatCode>General</c:formatCode>
                <c:ptCount val="4"/>
                <c:pt idx="0">
                  <c:v>2950</c:v>
                </c:pt>
                <c:pt idx="1">
                  <c:v>3100</c:v>
                </c:pt>
                <c:pt idx="2">
                  <c:v>3100</c:v>
                </c:pt>
                <c:pt idx="3">
                  <c:v>2950</c:v>
                </c:pt>
              </c:numCache>
            </c:numRef>
          </c:yVal>
          <c:smooth val="0"/>
          <c:extLst>
            <c:ext xmlns:c16="http://schemas.microsoft.com/office/drawing/2014/chart" uri="{C3380CC4-5D6E-409C-BE32-E72D297353CC}">
              <c16:uniqueId val="{00000001-892D-45E7-AA5F-328DDC3910F3}"/>
            </c:ext>
          </c:extLst>
        </c:ser>
        <c:ser>
          <c:idx val="2"/>
          <c:order val="2"/>
          <c:tx>
            <c:v>W&amp;B Trend</c:v>
          </c:tx>
          <c:marker>
            <c:symbol val="none"/>
          </c:marker>
          <c:xVal>
            <c:strRef>
              <c:f>N631CP!$B$29:$B$31</c:f>
              <c:strCache>
                <c:ptCount val="1"/>
                <c:pt idx="0">
                  <c:v>#VALUE!</c:v>
                </c:pt>
              </c:strCache>
            </c:strRef>
          </c:xVal>
          <c:yVal>
            <c:numRef>
              <c:f>N631CP!$C$29:$C$31</c:f>
              <c:numCache>
                <c:formatCode>0.0</c:formatCode>
                <c:ptCount val="3"/>
                <c:pt idx="0">
                  <c:v>0</c:v>
                </c:pt>
                <c:pt idx="1">
                  <c:v>0</c:v>
                </c:pt>
                <c:pt idx="2">
                  <c:v>0</c:v>
                </c:pt>
              </c:numCache>
            </c:numRef>
          </c:yVal>
          <c:smooth val="0"/>
          <c:extLst>
            <c:ext xmlns:c16="http://schemas.microsoft.com/office/drawing/2014/chart" uri="{C3380CC4-5D6E-409C-BE32-E72D297353CC}">
              <c16:uniqueId val="{00000002-892D-45E7-AA5F-328DDC3910F3}"/>
            </c:ext>
          </c:extLst>
        </c:ser>
        <c:dLbls>
          <c:showLegendKey val="0"/>
          <c:showVal val="0"/>
          <c:showCatName val="0"/>
          <c:showSerName val="0"/>
          <c:showPercent val="0"/>
          <c:showBubbleSize val="0"/>
        </c:dLbls>
        <c:axId val="45395968"/>
        <c:axId val="45397888"/>
      </c:scatterChart>
      <c:valAx>
        <c:axId val="45395968"/>
        <c:scaling>
          <c:orientation val="minMax"/>
          <c:max val="145"/>
          <c:min val="55"/>
        </c:scaling>
        <c:delete val="0"/>
        <c:axPos val="b"/>
        <c:majorGridlines/>
        <c:minorGridlines/>
        <c:title>
          <c:tx>
            <c:rich>
              <a:bodyPr/>
              <a:lstStyle/>
              <a:p>
                <a:pPr>
                  <a:defRPr/>
                </a:pPr>
                <a:r>
                  <a:rPr lang="en-US"/>
                  <a:t>LOADED AIRCRAFT MOMENT / 1000  (POUND-INCHES)</a:t>
                </a:r>
              </a:p>
            </c:rich>
          </c:tx>
          <c:overlay val="0"/>
        </c:title>
        <c:numFmt formatCode="General" sourceLinked="1"/>
        <c:majorTickMark val="out"/>
        <c:minorTickMark val="none"/>
        <c:tickLblPos val="nextTo"/>
        <c:crossAx val="45397888"/>
        <c:crosses val="autoZero"/>
        <c:crossBetween val="midCat"/>
        <c:majorUnit val="5"/>
        <c:minorUnit val="1"/>
      </c:valAx>
      <c:valAx>
        <c:axId val="45397888"/>
        <c:scaling>
          <c:orientation val="minMax"/>
          <c:max val="3150"/>
          <c:min val="1800"/>
        </c:scaling>
        <c:delete val="0"/>
        <c:axPos val="l"/>
        <c:majorGridlines/>
        <c:minorGridlines/>
        <c:title>
          <c:tx>
            <c:rich>
              <a:bodyPr rot="-5400000" vert="horz"/>
              <a:lstStyle/>
              <a:p>
                <a:pPr>
                  <a:defRPr/>
                </a:pPr>
                <a:r>
                  <a:rPr lang="en-US"/>
                  <a:t>LOADED AIRCRAFT WEIGHT (POUNDS)</a:t>
                </a:r>
              </a:p>
            </c:rich>
          </c:tx>
          <c:overlay val="0"/>
        </c:title>
        <c:numFmt formatCode="General" sourceLinked="1"/>
        <c:majorTickMark val="out"/>
        <c:minorTickMark val="none"/>
        <c:tickLblPos val="nextTo"/>
        <c:crossAx val="45395968"/>
        <c:crosses val="autoZero"/>
        <c:crossBetween val="midCat"/>
        <c:majorUnit val="100"/>
        <c:minorUnit val="20"/>
      </c:valAx>
    </c:plotArea>
    <c:legend>
      <c:legendPos val="r"/>
      <c:layout>
        <c:manualLayout>
          <c:xMode val="edge"/>
          <c:yMode val="edge"/>
          <c:x val="0.67988423322084734"/>
          <c:y val="0.55043011090208549"/>
          <c:w val="0.2226492782152231"/>
          <c:h val="0.23354532857230365"/>
        </c:manualLayout>
      </c:layout>
      <c:overlay val="1"/>
      <c:spPr>
        <a:solidFill>
          <a:schemeClr val="bg1"/>
        </a:solidFill>
      </c:spPr>
    </c:legend>
    <c:plotVisOnly val="1"/>
    <c:dispBlanksAs val="gap"/>
    <c:showDLblsOverMax val="0"/>
  </c:chart>
  <c:txPr>
    <a:bodyPr/>
    <a:lstStyle/>
    <a:p>
      <a:pPr>
        <a:defRPr sz="8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LOADING GRAPH</a:t>
            </a:r>
          </a:p>
        </c:rich>
      </c:tx>
      <c:layout>
        <c:manualLayout>
          <c:xMode val="edge"/>
          <c:yMode val="edge"/>
          <c:x val="0.17511154855643044"/>
          <c:y val="0.13492063492063491"/>
        </c:manualLayout>
      </c:layout>
      <c:overlay val="1"/>
      <c:spPr>
        <a:solidFill>
          <a:schemeClr val="bg1"/>
        </a:solidFill>
      </c:spPr>
    </c:title>
    <c:autoTitleDeleted val="0"/>
    <c:plotArea>
      <c:layout/>
      <c:scatterChart>
        <c:scatterStyle val="lineMarker"/>
        <c:varyColors val="0"/>
        <c:ser>
          <c:idx val="0"/>
          <c:order val="0"/>
          <c:tx>
            <c:v>Pilot &amp; Front Pax</c:v>
          </c:tx>
          <c:marker>
            <c:symbol val="none"/>
          </c:marker>
          <c:xVal>
            <c:numRef>
              <c:f>'Loading Graph Data'!$B$5:$B$6</c:f>
              <c:numCache>
                <c:formatCode>General</c:formatCode>
                <c:ptCount val="2"/>
                <c:pt idx="0">
                  <c:v>0</c:v>
                </c:pt>
                <c:pt idx="1">
                  <c:v>16.649999999999999</c:v>
                </c:pt>
              </c:numCache>
            </c:numRef>
          </c:xVal>
          <c:yVal>
            <c:numRef>
              <c:f>'Loading Graph Data'!$A$5:$A$6</c:f>
              <c:numCache>
                <c:formatCode>General</c:formatCode>
                <c:ptCount val="2"/>
                <c:pt idx="0">
                  <c:v>0</c:v>
                </c:pt>
                <c:pt idx="1">
                  <c:v>450</c:v>
                </c:pt>
              </c:numCache>
            </c:numRef>
          </c:yVal>
          <c:smooth val="0"/>
          <c:extLst>
            <c:ext xmlns:c16="http://schemas.microsoft.com/office/drawing/2014/chart" uri="{C3380CC4-5D6E-409C-BE32-E72D297353CC}">
              <c16:uniqueId val="{00000000-7E0F-48F0-A517-EE9938BFED4A}"/>
            </c:ext>
          </c:extLst>
        </c:ser>
        <c:ser>
          <c:idx val="1"/>
          <c:order val="1"/>
          <c:tx>
            <c:v>Fuel</c:v>
          </c:tx>
          <c:marker>
            <c:symbol val="none"/>
          </c:marker>
          <c:xVal>
            <c:numRef>
              <c:f>'Loading Graph Data'!$F$5:$F$6</c:f>
              <c:numCache>
                <c:formatCode>General</c:formatCode>
                <c:ptCount val="2"/>
                <c:pt idx="0">
                  <c:v>0</c:v>
                </c:pt>
                <c:pt idx="1">
                  <c:v>14.4</c:v>
                </c:pt>
              </c:numCache>
            </c:numRef>
          </c:xVal>
          <c:yVal>
            <c:numRef>
              <c:f>'Loading Graph Data'!$E$5:$E$6</c:f>
              <c:numCache>
                <c:formatCode>General</c:formatCode>
                <c:ptCount val="2"/>
                <c:pt idx="0">
                  <c:v>0</c:v>
                </c:pt>
                <c:pt idx="1">
                  <c:v>300</c:v>
                </c:pt>
              </c:numCache>
            </c:numRef>
          </c:yVal>
          <c:smooth val="0"/>
          <c:extLst>
            <c:ext xmlns:c16="http://schemas.microsoft.com/office/drawing/2014/chart" uri="{C3380CC4-5D6E-409C-BE32-E72D297353CC}">
              <c16:uniqueId val="{00000001-7E0F-48F0-A517-EE9938BFED4A}"/>
            </c:ext>
          </c:extLst>
        </c:ser>
        <c:ser>
          <c:idx val="2"/>
          <c:order val="2"/>
          <c:tx>
            <c:v>2nd Row Pax</c:v>
          </c:tx>
          <c:marker>
            <c:symbol val="none"/>
          </c:marker>
          <c:xVal>
            <c:numRef>
              <c:f>'Loading Graph Data'!$I$5:$I$6</c:f>
              <c:numCache>
                <c:formatCode>General</c:formatCode>
                <c:ptCount val="2"/>
                <c:pt idx="0">
                  <c:v>0</c:v>
                </c:pt>
                <c:pt idx="1">
                  <c:v>32.85</c:v>
                </c:pt>
              </c:numCache>
            </c:numRef>
          </c:xVal>
          <c:yVal>
            <c:numRef>
              <c:f>'Loading Graph Data'!$H$5:$H$6</c:f>
              <c:numCache>
                <c:formatCode>General</c:formatCode>
                <c:ptCount val="2"/>
                <c:pt idx="0">
                  <c:v>0</c:v>
                </c:pt>
                <c:pt idx="1">
                  <c:v>450</c:v>
                </c:pt>
              </c:numCache>
            </c:numRef>
          </c:yVal>
          <c:smooth val="0"/>
          <c:extLst>
            <c:ext xmlns:c16="http://schemas.microsoft.com/office/drawing/2014/chart" uri="{C3380CC4-5D6E-409C-BE32-E72D297353CC}">
              <c16:uniqueId val="{00000002-7E0F-48F0-A517-EE9938BFED4A}"/>
            </c:ext>
          </c:extLst>
        </c:ser>
        <c:ser>
          <c:idx val="3"/>
          <c:order val="3"/>
          <c:tx>
            <c:v>Baggage A</c:v>
          </c:tx>
          <c:marker>
            <c:symbol val="none"/>
          </c:marker>
          <c:xVal>
            <c:numRef>
              <c:f>'Loading Graph Data'!$L$5:$L$6</c:f>
              <c:numCache>
                <c:formatCode>0.00</c:formatCode>
                <c:ptCount val="2"/>
                <c:pt idx="0">
                  <c:v>0</c:v>
                </c:pt>
                <c:pt idx="1">
                  <c:v>11.4</c:v>
                </c:pt>
              </c:numCache>
            </c:numRef>
          </c:xVal>
          <c:yVal>
            <c:numRef>
              <c:f>'Loading Graph Data'!$K$5:$K$6</c:f>
              <c:numCache>
                <c:formatCode>General</c:formatCode>
                <c:ptCount val="2"/>
                <c:pt idx="0">
                  <c:v>0</c:v>
                </c:pt>
                <c:pt idx="1">
                  <c:v>120</c:v>
                </c:pt>
              </c:numCache>
            </c:numRef>
          </c:yVal>
          <c:smooth val="0"/>
          <c:extLst>
            <c:ext xmlns:c16="http://schemas.microsoft.com/office/drawing/2014/chart" uri="{C3380CC4-5D6E-409C-BE32-E72D297353CC}">
              <c16:uniqueId val="{00000003-7E0F-48F0-A517-EE9938BFED4A}"/>
            </c:ext>
          </c:extLst>
        </c:ser>
        <c:ser>
          <c:idx val="4"/>
          <c:order val="4"/>
          <c:tx>
            <c:v>Baggage B</c:v>
          </c:tx>
          <c:marker>
            <c:symbol val="none"/>
          </c:marker>
          <c:xVal>
            <c:numRef>
              <c:f>'Loading Graph Data'!$N$5:$N$6</c:f>
              <c:numCache>
                <c:formatCode>0.00</c:formatCode>
                <c:ptCount val="2"/>
                <c:pt idx="0">
                  <c:v>0</c:v>
                </c:pt>
                <c:pt idx="1">
                  <c:v>6.15</c:v>
                </c:pt>
              </c:numCache>
            </c:numRef>
          </c:xVal>
          <c:yVal>
            <c:numRef>
              <c:f>'Loading Graph Data'!$M$5:$M$6</c:f>
              <c:numCache>
                <c:formatCode>General</c:formatCode>
                <c:ptCount val="2"/>
                <c:pt idx="0">
                  <c:v>0</c:v>
                </c:pt>
                <c:pt idx="1">
                  <c:v>50</c:v>
                </c:pt>
              </c:numCache>
            </c:numRef>
          </c:yVal>
          <c:smooth val="0"/>
          <c:extLst>
            <c:ext xmlns:c16="http://schemas.microsoft.com/office/drawing/2014/chart" uri="{C3380CC4-5D6E-409C-BE32-E72D297353CC}">
              <c16:uniqueId val="{00000004-7E0F-48F0-A517-EE9938BFED4A}"/>
            </c:ext>
          </c:extLst>
        </c:ser>
        <c:dLbls>
          <c:showLegendKey val="0"/>
          <c:showVal val="0"/>
          <c:showCatName val="0"/>
          <c:showSerName val="0"/>
          <c:showPercent val="0"/>
          <c:showBubbleSize val="0"/>
        </c:dLbls>
        <c:axId val="45034880"/>
        <c:axId val="45037056"/>
      </c:scatterChart>
      <c:valAx>
        <c:axId val="45034880"/>
        <c:scaling>
          <c:orientation val="minMax"/>
        </c:scaling>
        <c:delete val="0"/>
        <c:axPos val="b"/>
        <c:majorGridlines/>
        <c:minorGridlines/>
        <c:title>
          <c:tx>
            <c:rich>
              <a:bodyPr/>
              <a:lstStyle/>
              <a:p>
                <a:pPr>
                  <a:defRPr sz="800"/>
                </a:pPr>
                <a:r>
                  <a:rPr lang="en-US" sz="800" b="1"/>
                  <a:t>LOAD MOMENT / 1000 (POUND-INCHES)</a:t>
                </a:r>
              </a:p>
            </c:rich>
          </c:tx>
          <c:overlay val="0"/>
        </c:title>
        <c:numFmt formatCode="General" sourceLinked="1"/>
        <c:majorTickMark val="none"/>
        <c:minorTickMark val="none"/>
        <c:tickLblPos val="nextTo"/>
        <c:crossAx val="45037056"/>
        <c:crosses val="autoZero"/>
        <c:crossBetween val="midCat"/>
      </c:valAx>
      <c:valAx>
        <c:axId val="45037056"/>
        <c:scaling>
          <c:orientation val="minMax"/>
        </c:scaling>
        <c:delete val="0"/>
        <c:axPos val="l"/>
        <c:majorGridlines/>
        <c:minorGridlines/>
        <c:title>
          <c:tx>
            <c:rich>
              <a:bodyPr rot="-5400000" vert="horz"/>
              <a:lstStyle/>
              <a:p>
                <a:pPr>
                  <a:defRPr sz="800"/>
                </a:pPr>
                <a:r>
                  <a:rPr lang="en-US" sz="800"/>
                  <a:t>LOAD WEIGHT (POUNDS)</a:t>
                </a:r>
              </a:p>
            </c:rich>
          </c:tx>
          <c:overlay val="0"/>
        </c:title>
        <c:numFmt formatCode="General" sourceLinked="1"/>
        <c:majorTickMark val="none"/>
        <c:minorTickMark val="none"/>
        <c:tickLblPos val="nextTo"/>
        <c:crossAx val="45034880"/>
        <c:crosses val="autoZero"/>
        <c:crossBetween val="midCat"/>
      </c:valAx>
    </c:plotArea>
    <c:legend>
      <c:legendPos val="r"/>
      <c:layout>
        <c:manualLayout>
          <c:xMode val="edge"/>
          <c:yMode val="edge"/>
          <c:x val="0.69714145106861647"/>
          <c:y val="0.5073465816772903"/>
          <c:w val="0.23142997750281216"/>
          <c:h val="0.28689382577177852"/>
        </c:manualLayout>
      </c:layout>
      <c:overlay val="1"/>
      <c:spPr>
        <a:solidFill>
          <a:schemeClr val="bg1"/>
        </a:solidFill>
      </c:spPr>
    </c:legend>
    <c:plotVisOnly val="1"/>
    <c:dispBlanksAs val="gap"/>
    <c:showDLblsOverMax val="0"/>
  </c:chart>
  <c:txPr>
    <a:bodyPr/>
    <a:lstStyle/>
    <a:p>
      <a:pPr>
        <a:defRPr sz="700"/>
      </a:pPr>
      <a:endParaRPr lang="en-US"/>
    </a:p>
  </c:txPr>
  <c:printSettings>
    <c:headerFooter/>
    <c:pageMargins b="0.75" l="0.7" r="0.7" t="0.75" header="0.3" footer="0.3"/>
    <c:pageSetup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ctr" anchorCtr="1"/>
          <a:lstStyle/>
          <a:p>
            <a:pPr>
              <a:defRPr/>
            </a:pPr>
            <a:r>
              <a:rPr lang="en-US"/>
              <a:t>CENTER OF GRAVITY MOMENT ENVELOPE</a:t>
            </a:r>
          </a:p>
        </c:rich>
      </c:tx>
      <c:layout>
        <c:manualLayout>
          <c:xMode val="edge"/>
          <c:yMode val="edge"/>
          <c:x val="0.15546869141357331"/>
          <c:y val="7.8321666821332625E-2"/>
        </c:manualLayout>
      </c:layout>
      <c:overlay val="1"/>
      <c:spPr>
        <a:solidFill>
          <a:schemeClr val="bg1"/>
        </a:solidFill>
      </c:spPr>
    </c:title>
    <c:autoTitleDeleted val="0"/>
    <c:plotArea>
      <c:layout/>
      <c:scatterChart>
        <c:scatterStyle val="lineMarker"/>
        <c:varyColors val="0"/>
        <c:ser>
          <c:idx val="0"/>
          <c:order val="0"/>
          <c:tx>
            <c:v>Normal</c:v>
          </c:tx>
          <c:marker>
            <c:symbol val="none"/>
          </c:marker>
          <c:xVal>
            <c:numRef>
              <c:f>'Moment Envelope Data'!$G$3:$G$8</c:f>
              <c:numCache>
                <c:formatCode>General</c:formatCode>
                <c:ptCount val="6"/>
                <c:pt idx="0">
                  <c:v>52.5</c:v>
                </c:pt>
                <c:pt idx="1">
                  <c:v>68.25</c:v>
                </c:pt>
                <c:pt idx="2">
                  <c:v>82.5</c:v>
                </c:pt>
                <c:pt idx="3">
                  <c:v>104.55</c:v>
                </c:pt>
                <c:pt idx="4">
                  <c:v>120.61499999999999</c:v>
                </c:pt>
                <c:pt idx="5">
                  <c:v>70.95</c:v>
                </c:pt>
              </c:numCache>
            </c:numRef>
          </c:xVal>
          <c:yVal>
            <c:numRef>
              <c:f>'Moment Envelope Data'!$A$3:$A$8</c:f>
              <c:numCache>
                <c:formatCode>General</c:formatCode>
                <c:ptCount val="6"/>
                <c:pt idx="0">
                  <c:v>1500</c:v>
                </c:pt>
                <c:pt idx="1">
                  <c:v>1950</c:v>
                </c:pt>
                <c:pt idx="2">
                  <c:v>2200</c:v>
                </c:pt>
                <c:pt idx="3">
                  <c:v>2550</c:v>
                </c:pt>
                <c:pt idx="4">
                  <c:v>2550</c:v>
                </c:pt>
                <c:pt idx="5">
                  <c:v>1500</c:v>
                </c:pt>
              </c:numCache>
            </c:numRef>
          </c:yVal>
          <c:smooth val="0"/>
          <c:extLst>
            <c:ext xmlns:c16="http://schemas.microsoft.com/office/drawing/2014/chart" uri="{C3380CC4-5D6E-409C-BE32-E72D297353CC}">
              <c16:uniqueId val="{00000000-FD11-4FC5-B6B7-F37587A5AE34}"/>
            </c:ext>
          </c:extLst>
        </c:ser>
        <c:ser>
          <c:idx val="1"/>
          <c:order val="1"/>
          <c:tx>
            <c:v>Utility</c:v>
          </c:tx>
          <c:marker>
            <c:symbol val="none"/>
          </c:marker>
          <c:xVal>
            <c:numRef>
              <c:f>'Moment Envelope Data'!$H$3:$H$8</c:f>
              <c:numCache>
                <c:formatCode>General</c:formatCode>
                <c:ptCount val="6"/>
                <c:pt idx="0">
                  <c:v>52.5</c:v>
                </c:pt>
                <c:pt idx="1">
                  <c:v>68.25</c:v>
                </c:pt>
                <c:pt idx="2">
                  <c:v>82.5</c:v>
                </c:pt>
                <c:pt idx="3">
                  <c:v>82.5</c:v>
                </c:pt>
                <c:pt idx="4">
                  <c:v>89.1</c:v>
                </c:pt>
                <c:pt idx="5">
                  <c:v>60.75</c:v>
                </c:pt>
              </c:numCache>
            </c:numRef>
          </c:xVal>
          <c:yVal>
            <c:numRef>
              <c:f>'Moment Envelope Data'!$C$3:$C$8</c:f>
              <c:numCache>
                <c:formatCode>General</c:formatCode>
                <c:ptCount val="6"/>
                <c:pt idx="0">
                  <c:v>1500</c:v>
                </c:pt>
                <c:pt idx="1">
                  <c:v>1950</c:v>
                </c:pt>
                <c:pt idx="2">
                  <c:v>2200</c:v>
                </c:pt>
                <c:pt idx="3">
                  <c:v>2200</c:v>
                </c:pt>
                <c:pt idx="4">
                  <c:v>2200</c:v>
                </c:pt>
                <c:pt idx="5">
                  <c:v>1500</c:v>
                </c:pt>
              </c:numCache>
            </c:numRef>
          </c:yVal>
          <c:smooth val="0"/>
          <c:extLst>
            <c:ext xmlns:c16="http://schemas.microsoft.com/office/drawing/2014/chart" uri="{C3380CC4-5D6E-409C-BE32-E72D297353CC}">
              <c16:uniqueId val="{00000001-FD11-4FC5-B6B7-F37587A5AE34}"/>
            </c:ext>
          </c:extLst>
        </c:ser>
        <c:ser>
          <c:idx val="2"/>
          <c:order val="2"/>
          <c:tx>
            <c:v>W&amp;B Trend</c:v>
          </c:tx>
          <c:marker>
            <c:symbol val="none"/>
          </c:marker>
          <c:xVal>
            <c:strRef>
              <c:f>'N99589'!$B$28:$B$30</c:f>
              <c:strCache>
                <c:ptCount val="1"/>
                <c:pt idx="0">
                  <c:v>#VALUE!</c:v>
                </c:pt>
              </c:strCache>
            </c:strRef>
          </c:xVal>
          <c:yVal>
            <c:numRef>
              <c:f>'N99589'!$C$28:$C$30</c:f>
              <c:numCache>
                <c:formatCode>0.0</c:formatCode>
                <c:ptCount val="3"/>
                <c:pt idx="0">
                  <c:v>0</c:v>
                </c:pt>
                <c:pt idx="1">
                  <c:v>0</c:v>
                </c:pt>
                <c:pt idx="2">
                  <c:v>0</c:v>
                </c:pt>
              </c:numCache>
            </c:numRef>
          </c:yVal>
          <c:smooth val="0"/>
          <c:extLst>
            <c:ext xmlns:c16="http://schemas.microsoft.com/office/drawing/2014/chart" uri="{C3380CC4-5D6E-409C-BE32-E72D297353CC}">
              <c16:uniqueId val="{00000002-FD11-4FC5-B6B7-F37587A5AE34}"/>
            </c:ext>
          </c:extLst>
        </c:ser>
        <c:dLbls>
          <c:showLegendKey val="0"/>
          <c:showVal val="0"/>
          <c:showCatName val="0"/>
          <c:showSerName val="0"/>
          <c:showPercent val="0"/>
          <c:showBubbleSize val="0"/>
        </c:dLbls>
        <c:axId val="45078016"/>
        <c:axId val="45079936"/>
      </c:scatterChart>
      <c:valAx>
        <c:axId val="45078016"/>
        <c:scaling>
          <c:orientation val="minMax"/>
          <c:max val="125"/>
          <c:min val="50"/>
        </c:scaling>
        <c:delete val="0"/>
        <c:axPos val="b"/>
        <c:majorGridlines/>
        <c:minorGridlines/>
        <c:title>
          <c:tx>
            <c:rich>
              <a:bodyPr/>
              <a:lstStyle/>
              <a:p>
                <a:pPr>
                  <a:defRPr/>
                </a:pPr>
                <a:r>
                  <a:rPr lang="en-US"/>
                  <a:t>LOADED AIRCRAFT MOMENT / 1000  (POUND-INCHES)</a:t>
                </a:r>
              </a:p>
            </c:rich>
          </c:tx>
          <c:overlay val="0"/>
        </c:title>
        <c:numFmt formatCode="General" sourceLinked="1"/>
        <c:majorTickMark val="out"/>
        <c:minorTickMark val="none"/>
        <c:tickLblPos val="nextTo"/>
        <c:crossAx val="45079936"/>
        <c:crosses val="autoZero"/>
        <c:crossBetween val="midCat"/>
        <c:majorUnit val="5"/>
        <c:minorUnit val="1"/>
      </c:valAx>
      <c:valAx>
        <c:axId val="45079936"/>
        <c:scaling>
          <c:orientation val="minMax"/>
          <c:max val="2600"/>
          <c:min val="1500"/>
        </c:scaling>
        <c:delete val="0"/>
        <c:axPos val="l"/>
        <c:majorGridlines/>
        <c:minorGridlines/>
        <c:title>
          <c:tx>
            <c:rich>
              <a:bodyPr rot="-5400000" vert="horz"/>
              <a:lstStyle/>
              <a:p>
                <a:pPr>
                  <a:defRPr/>
                </a:pPr>
                <a:r>
                  <a:rPr lang="en-US"/>
                  <a:t>LOADED AIRCRAFT WEIGHT (POUNDS)</a:t>
                </a:r>
              </a:p>
            </c:rich>
          </c:tx>
          <c:overlay val="0"/>
        </c:title>
        <c:numFmt formatCode="General" sourceLinked="1"/>
        <c:majorTickMark val="out"/>
        <c:minorTickMark val="none"/>
        <c:tickLblPos val="nextTo"/>
        <c:crossAx val="45078016"/>
        <c:crosses val="autoZero"/>
        <c:crossBetween val="midCat"/>
        <c:majorUnit val="100"/>
        <c:minorUnit val="20"/>
      </c:valAx>
    </c:plotArea>
    <c:legend>
      <c:legendPos val="r"/>
      <c:layout>
        <c:manualLayout>
          <c:xMode val="edge"/>
          <c:yMode val="edge"/>
          <c:x val="0.66797956465291941"/>
          <c:y val="0.58920124233963"/>
          <c:w val="0.20181594488188975"/>
          <c:h val="0.17529869129105352"/>
        </c:manualLayout>
      </c:layout>
      <c:overlay val="1"/>
      <c:spPr>
        <a:solidFill>
          <a:schemeClr val="bg1"/>
        </a:solidFill>
      </c:spPr>
    </c:legend>
    <c:plotVisOnly val="1"/>
    <c:dispBlanksAs val="gap"/>
    <c:showDLblsOverMax val="0"/>
  </c:chart>
  <c:txPr>
    <a:bodyPr/>
    <a:lstStyle/>
    <a:p>
      <a:pPr>
        <a:defRPr sz="8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LOADING GRAPH</a:t>
            </a:r>
          </a:p>
        </c:rich>
      </c:tx>
      <c:layout>
        <c:manualLayout>
          <c:xMode val="edge"/>
          <c:yMode val="edge"/>
          <c:x val="0.17511154855643044"/>
          <c:y val="0.13492063492063491"/>
        </c:manualLayout>
      </c:layout>
      <c:overlay val="1"/>
      <c:spPr>
        <a:solidFill>
          <a:schemeClr val="bg1"/>
        </a:solidFill>
      </c:spPr>
    </c:title>
    <c:autoTitleDeleted val="0"/>
    <c:plotArea>
      <c:layout/>
      <c:scatterChart>
        <c:scatterStyle val="lineMarker"/>
        <c:varyColors val="0"/>
        <c:ser>
          <c:idx val="0"/>
          <c:order val="0"/>
          <c:tx>
            <c:v>Pilot &amp; Front Pax</c:v>
          </c:tx>
          <c:marker>
            <c:symbol val="none"/>
          </c:marker>
          <c:xVal>
            <c:numRef>
              <c:f>'Loading Graph Data'!$B$5:$B$6</c:f>
              <c:numCache>
                <c:formatCode>General</c:formatCode>
                <c:ptCount val="2"/>
                <c:pt idx="0">
                  <c:v>0</c:v>
                </c:pt>
                <c:pt idx="1">
                  <c:v>16.649999999999999</c:v>
                </c:pt>
              </c:numCache>
            </c:numRef>
          </c:xVal>
          <c:yVal>
            <c:numRef>
              <c:f>'Loading Graph Data'!$A$5:$A$6</c:f>
              <c:numCache>
                <c:formatCode>General</c:formatCode>
                <c:ptCount val="2"/>
                <c:pt idx="0">
                  <c:v>0</c:v>
                </c:pt>
                <c:pt idx="1">
                  <c:v>450</c:v>
                </c:pt>
              </c:numCache>
            </c:numRef>
          </c:yVal>
          <c:smooth val="0"/>
          <c:extLst>
            <c:ext xmlns:c16="http://schemas.microsoft.com/office/drawing/2014/chart" uri="{C3380CC4-5D6E-409C-BE32-E72D297353CC}">
              <c16:uniqueId val="{00000000-EA3D-4133-9718-EFFCCFD7745E}"/>
            </c:ext>
          </c:extLst>
        </c:ser>
        <c:ser>
          <c:idx val="1"/>
          <c:order val="1"/>
          <c:tx>
            <c:v>Fuel</c:v>
          </c:tx>
          <c:marker>
            <c:symbol val="none"/>
          </c:marker>
          <c:xVal>
            <c:numRef>
              <c:f>'Loading Graph Data'!$F$12:$F$13</c:f>
              <c:numCache>
                <c:formatCode>General</c:formatCode>
                <c:ptCount val="2"/>
                <c:pt idx="0">
                  <c:v>0</c:v>
                </c:pt>
                <c:pt idx="1">
                  <c:v>24.273</c:v>
                </c:pt>
              </c:numCache>
            </c:numRef>
          </c:xVal>
          <c:yVal>
            <c:numRef>
              <c:f>'Loading Graph Data'!$E$12:$E$13</c:f>
              <c:numCache>
                <c:formatCode>General</c:formatCode>
                <c:ptCount val="2"/>
                <c:pt idx="0">
                  <c:v>0</c:v>
                </c:pt>
                <c:pt idx="1">
                  <c:v>522</c:v>
                </c:pt>
              </c:numCache>
            </c:numRef>
          </c:yVal>
          <c:smooth val="0"/>
          <c:extLst>
            <c:ext xmlns:c16="http://schemas.microsoft.com/office/drawing/2014/chart" uri="{C3380CC4-5D6E-409C-BE32-E72D297353CC}">
              <c16:uniqueId val="{00000001-EA3D-4133-9718-EFFCCFD7745E}"/>
            </c:ext>
          </c:extLst>
        </c:ser>
        <c:ser>
          <c:idx val="2"/>
          <c:order val="2"/>
          <c:tx>
            <c:v>2nd Row Pax</c:v>
          </c:tx>
          <c:marker>
            <c:symbol val="none"/>
          </c:marker>
          <c:xVal>
            <c:numRef>
              <c:f>'Loading Graph Data'!$I$12:$I$13</c:f>
              <c:numCache>
                <c:formatCode>General</c:formatCode>
                <c:ptCount val="2"/>
                <c:pt idx="0">
                  <c:v>0</c:v>
                </c:pt>
                <c:pt idx="1">
                  <c:v>33.299999999999997</c:v>
                </c:pt>
              </c:numCache>
            </c:numRef>
          </c:xVal>
          <c:yVal>
            <c:numRef>
              <c:f>'Loading Graph Data'!$H$12:$H$13</c:f>
              <c:numCache>
                <c:formatCode>General</c:formatCode>
                <c:ptCount val="2"/>
                <c:pt idx="0">
                  <c:v>0</c:v>
                </c:pt>
                <c:pt idx="1">
                  <c:v>450</c:v>
                </c:pt>
              </c:numCache>
            </c:numRef>
          </c:yVal>
          <c:smooth val="0"/>
          <c:extLst>
            <c:ext xmlns:c16="http://schemas.microsoft.com/office/drawing/2014/chart" uri="{C3380CC4-5D6E-409C-BE32-E72D297353CC}">
              <c16:uniqueId val="{00000002-EA3D-4133-9718-EFFCCFD7745E}"/>
            </c:ext>
          </c:extLst>
        </c:ser>
        <c:ser>
          <c:idx val="3"/>
          <c:order val="3"/>
          <c:tx>
            <c:v>Baggage A</c:v>
          </c:tx>
          <c:marker>
            <c:symbol val="none"/>
          </c:marker>
          <c:xVal>
            <c:numRef>
              <c:f>'Loading Graph Data'!$L$12:$L$13</c:f>
              <c:numCache>
                <c:formatCode>0.00</c:formatCode>
                <c:ptCount val="2"/>
                <c:pt idx="0">
                  <c:v>0</c:v>
                </c:pt>
                <c:pt idx="1">
                  <c:v>11.64</c:v>
                </c:pt>
              </c:numCache>
            </c:numRef>
          </c:xVal>
          <c:yVal>
            <c:numRef>
              <c:f>'Loading Graph Data'!$K$12:$K$13</c:f>
              <c:numCache>
                <c:formatCode>General</c:formatCode>
                <c:ptCount val="2"/>
                <c:pt idx="0">
                  <c:v>0</c:v>
                </c:pt>
                <c:pt idx="1">
                  <c:v>120</c:v>
                </c:pt>
              </c:numCache>
            </c:numRef>
          </c:yVal>
          <c:smooth val="0"/>
          <c:extLst>
            <c:ext xmlns:c16="http://schemas.microsoft.com/office/drawing/2014/chart" uri="{C3380CC4-5D6E-409C-BE32-E72D297353CC}">
              <c16:uniqueId val="{00000003-EA3D-4133-9718-EFFCCFD7745E}"/>
            </c:ext>
          </c:extLst>
        </c:ser>
        <c:ser>
          <c:idx val="4"/>
          <c:order val="4"/>
          <c:tx>
            <c:v>Baggage B</c:v>
          </c:tx>
          <c:marker>
            <c:symbol val="none"/>
          </c:marker>
          <c:xVal>
            <c:numRef>
              <c:f>'Loading Graph Data'!$N$12:$N$13</c:f>
              <c:numCache>
                <c:formatCode>0.00</c:formatCode>
                <c:ptCount val="2"/>
                <c:pt idx="0">
                  <c:v>0</c:v>
                </c:pt>
                <c:pt idx="1">
                  <c:v>9.2799999999999994</c:v>
                </c:pt>
              </c:numCache>
            </c:numRef>
          </c:xVal>
          <c:yVal>
            <c:numRef>
              <c:f>'Loading Graph Data'!$M$12:$M$13</c:f>
              <c:numCache>
                <c:formatCode>General</c:formatCode>
                <c:ptCount val="2"/>
                <c:pt idx="0">
                  <c:v>0</c:v>
                </c:pt>
                <c:pt idx="1">
                  <c:v>80</c:v>
                </c:pt>
              </c:numCache>
            </c:numRef>
          </c:yVal>
          <c:smooth val="0"/>
          <c:extLst>
            <c:ext xmlns:c16="http://schemas.microsoft.com/office/drawing/2014/chart" uri="{C3380CC4-5D6E-409C-BE32-E72D297353CC}">
              <c16:uniqueId val="{00000004-EA3D-4133-9718-EFFCCFD7745E}"/>
            </c:ext>
          </c:extLst>
        </c:ser>
        <c:ser>
          <c:idx val="5"/>
          <c:order val="5"/>
          <c:tx>
            <c:v>Baggage C</c:v>
          </c:tx>
          <c:marker>
            <c:symbol val="none"/>
          </c:marker>
          <c:xVal>
            <c:numRef>
              <c:f>'Loading Graph Data'!$P$12:$P$13</c:f>
              <c:numCache>
                <c:formatCode>0.00</c:formatCode>
                <c:ptCount val="2"/>
                <c:pt idx="0">
                  <c:v>0</c:v>
                </c:pt>
                <c:pt idx="1">
                  <c:v>10.32</c:v>
                </c:pt>
              </c:numCache>
            </c:numRef>
          </c:xVal>
          <c:yVal>
            <c:numRef>
              <c:f>'Loading Graph Data'!$O$12:$O$13</c:f>
              <c:numCache>
                <c:formatCode>General</c:formatCode>
                <c:ptCount val="2"/>
                <c:pt idx="0">
                  <c:v>0</c:v>
                </c:pt>
                <c:pt idx="1">
                  <c:v>80</c:v>
                </c:pt>
              </c:numCache>
            </c:numRef>
          </c:yVal>
          <c:smooth val="0"/>
          <c:extLst>
            <c:ext xmlns:c16="http://schemas.microsoft.com/office/drawing/2014/chart" uri="{C3380CC4-5D6E-409C-BE32-E72D297353CC}">
              <c16:uniqueId val="{00000005-EA3D-4133-9718-EFFCCFD7745E}"/>
            </c:ext>
          </c:extLst>
        </c:ser>
        <c:dLbls>
          <c:showLegendKey val="0"/>
          <c:showVal val="0"/>
          <c:showCatName val="0"/>
          <c:showSerName val="0"/>
          <c:showPercent val="0"/>
          <c:showBubbleSize val="0"/>
        </c:dLbls>
        <c:axId val="77395456"/>
        <c:axId val="77397376"/>
      </c:scatterChart>
      <c:valAx>
        <c:axId val="77395456"/>
        <c:scaling>
          <c:orientation val="minMax"/>
        </c:scaling>
        <c:delete val="0"/>
        <c:axPos val="b"/>
        <c:majorGridlines/>
        <c:minorGridlines/>
        <c:title>
          <c:tx>
            <c:rich>
              <a:bodyPr/>
              <a:lstStyle/>
              <a:p>
                <a:pPr>
                  <a:defRPr sz="800"/>
                </a:pPr>
                <a:r>
                  <a:rPr lang="en-US" sz="800" b="1"/>
                  <a:t>LOAD MOMENT / 1000 (POUND-INCHES)</a:t>
                </a:r>
              </a:p>
            </c:rich>
          </c:tx>
          <c:overlay val="0"/>
        </c:title>
        <c:numFmt formatCode="General" sourceLinked="1"/>
        <c:majorTickMark val="none"/>
        <c:minorTickMark val="none"/>
        <c:tickLblPos val="nextTo"/>
        <c:crossAx val="77397376"/>
        <c:crosses val="autoZero"/>
        <c:crossBetween val="midCat"/>
      </c:valAx>
      <c:valAx>
        <c:axId val="77397376"/>
        <c:scaling>
          <c:orientation val="minMax"/>
        </c:scaling>
        <c:delete val="0"/>
        <c:axPos val="l"/>
        <c:majorGridlines/>
        <c:minorGridlines/>
        <c:title>
          <c:tx>
            <c:rich>
              <a:bodyPr rot="-5400000" vert="horz"/>
              <a:lstStyle/>
              <a:p>
                <a:pPr>
                  <a:defRPr sz="800"/>
                </a:pPr>
                <a:r>
                  <a:rPr lang="en-US" sz="800"/>
                  <a:t>LOAD WEIGHT (POUNDS)</a:t>
                </a:r>
              </a:p>
            </c:rich>
          </c:tx>
          <c:overlay val="0"/>
        </c:title>
        <c:numFmt formatCode="General" sourceLinked="1"/>
        <c:majorTickMark val="none"/>
        <c:minorTickMark val="none"/>
        <c:tickLblPos val="nextTo"/>
        <c:crossAx val="77395456"/>
        <c:crosses val="autoZero"/>
        <c:crossBetween val="midCat"/>
      </c:valAx>
    </c:plotArea>
    <c:legend>
      <c:legendPos val="r"/>
      <c:layout>
        <c:manualLayout>
          <c:xMode val="edge"/>
          <c:yMode val="edge"/>
          <c:x val="0.69416526059242589"/>
          <c:y val="0.47259185474420806"/>
          <c:w val="0.23440616797900263"/>
          <c:h val="0.34122602305422928"/>
        </c:manualLayout>
      </c:layout>
      <c:overlay val="1"/>
      <c:spPr>
        <a:solidFill>
          <a:schemeClr val="bg1"/>
        </a:solidFill>
      </c:spPr>
    </c:legend>
    <c:plotVisOnly val="1"/>
    <c:dispBlanksAs val="gap"/>
    <c:showDLblsOverMax val="0"/>
  </c:chart>
  <c:txPr>
    <a:bodyPr/>
    <a:lstStyle/>
    <a:p>
      <a:pPr>
        <a:defRPr sz="700"/>
      </a:pPr>
      <a:endParaRPr lang="en-US"/>
    </a:p>
  </c:txPr>
  <c:printSettings>
    <c:headerFooter/>
    <c:pageMargins b="0.75" l="0.7" r="0.7" t="0.75" header="0.3" footer="0.3"/>
    <c:pageSetup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ctr" anchorCtr="1"/>
          <a:lstStyle/>
          <a:p>
            <a:pPr>
              <a:defRPr/>
            </a:pPr>
            <a:r>
              <a:rPr lang="en-US"/>
              <a:t>CENTER OF GRAVITY MOMENT ENVELOPE</a:t>
            </a:r>
          </a:p>
        </c:rich>
      </c:tx>
      <c:layout>
        <c:manualLayout>
          <c:xMode val="edge"/>
          <c:yMode val="edge"/>
          <c:x val="0.15546869141357331"/>
          <c:y val="7.8321666821332625E-2"/>
        </c:manualLayout>
      </c:layout>
      <c:overlay val="1"/>
      <c:spPr>
        <a:solidFill>
          <a:schemeClr val="bg1"/>
        </a:solidFill>
      </c:spPr>
    </c:title>
    <c:autoTitleDeleted val="0"/>
    <c:plotArea>
      <c:layout/>
      <c:scatterChart>
        <c:scatterStyle val="lineMarker"/>
        <c:varyColors val="0"/>
        <c:ser>
          <c:idx val="0"/>
          <c:order val="0"/>
          <c:tx>
            <c:v>Takeoff &amp; Landing</c:v>
          </c:tx>
          <c:marker>
            <c:symbol val="none"/>
          </c:marker>
          <c:xVal>
            <c:numRef>
              <c:f>'Moment Envelope Data'!$G$12:$G$17</c:f>
              <c:numCache>
                <c:formatCode>General</c:formatCode>
                <c:ptCount val="6"/>
                <c:pt idx="0">
                  <c:v>59.4</c:v>
                </c:pt>
                <c:pt idx="1">
                  <c:v>74.25</c:v>
                </c:pt>
                <c:pt idx="2">
                  <c:v>95.85</c:v>
                </c:pt>
                <c:pt idx="3">
                  <c:v>115.19749999999999</c:v>
                </c:pt>
                <c:pt idx="4">
                  <c:v>135.69999999999999</c:v>
                </c:pt>
                <c:pt idx="5">
                  <c:v>82.8</c:v>
                </c:pt>
              </c:numCache>
            </c:numRef>
          </c:xVal>
          <c:yVal>
            <c:numRef>
              <c:f>'Moment Envelope Data'!$A$12:$A$17</c:f>
              <c:numCache>
                <c:formatCode>General</c:formatCode>
                <c:ptCount val="6"/>
                <c:pt idx="0">
                  <c:v>1800</c:v>
                </c:pt>
                <c:pt idx="1">
                  <c:v>2250</c:v>
                </c:pt>
                <c:pt idx="2">
                  <c:v>2700</c:v>
                </c:pt>
                <c:pt idx="3">
                  <c:v>2950</c:v>
                </c:pt>
                <c:pt idx="4">
                  <c:v>2950</c:v>
                </c:pt>
                <c:pt idx="5">
                  <c:v>1800</c:v>
                </c:pt>
              </c:numCache>
            </c:numRef>
          </c:yVal>
          <c:smooth val="0"/>
          <c:extLst>
            <c:ext xmlns:c16="http://schemas.microsoft.com/office/drawing/2014/chart" uri="{C3380CC4-5D6E-409C-BE32-E72D297353CC}">
              <c16:uniqueId val="{00000000-0DA9-4DD0-ACEF-7AE47F2120E0}"/>
            </c:ext>
          </c:extLst>
        </c:ser>
        <c:ser>
          <c:idx val="1"/>
          <c:order val="1"/>
          <c:tx>
            <c:v>Takeoff Only</c:v>
          </c:tx>
          <c:marker>
            <c:symbol val="none"/>
          </c:marker>
          <c:xVal>
            <c:numRef>
              <c:f>'Moment Envelope Data'!$G$20:$G$23</c:f>
              <c:numCache>
                <c:formatCode>General</c:formatCode>
                <c:ptCount val="4"/>
                <c:pt idx="0">
                  <c:v>115.19749999999999</c:v>
                </c:pt>
                <c:pt idx="1">
                  <c:v>126.79</c:v>
                </c:pt>
                <c:pt idx="2">
                  <c:v>142.6</c:v>
                </c:pt>
                <c:pt idx="3">
                  <c:v>135.69999999999999</c:v>
                </c:pt>
              </c:numCache>
            </c:numRef>
          </c:xVal>
          <c:yVal>
            <c:numRef>
              <c:f>'Moment Envelope Data'!$A$20:$A$23</c:f>
              <c:numCache>
                <c:formatCode>General</c:formatCode>
                <c:ptCount val="4"/>
                <c:pt idx="0">
                  <c:v>2950</c:v>
                </c:pt>
                <c:pt idx="1">
                  <c:v>3100</c:v>
                </c:pt>
                <c:pt idx="2">
                  <c:v>3100</c:v>
                </c:pt>
                <c:pt idx="3">
                  <c:v>2950</c:v>
                </c:pt>
              </c:numCache>
            </c:numRef>
          </c:yVal>
          <c:smooth val="0"/>
          <c:extLst>
            <c:ext xmlns:c16="http://schemas.microsoft.com/office/drawing/2014/chart" uri="{C3380CC4-5D6E-409C-BE32-E72D297353CC}">
              <c16:uniqueId val="{00000001-0DA9-4DD0-ACEF-7AE47F2120E0}"/>
            </c:ext>
          </c:extLst>
        </c:ser>
        <c:ser>
          <c:idx val="2"/>
          <c:order val="2"/>
          <c:tx>
            <c:v>W&amp;B Trend</c:v>
          </c:tx>
          <c:marker>
            <c:symbol val="none"/>
          </c:marker>
          <c:xVal>
            <c:strRef>
              <c:f>'N899CP-WI 182'!$B$29:$B$31</c:f>
              <c:strCache>
                <c:ptCount val="1"/>
                <c:pt idx="0">
                  <c:v>#VALUE!</c:v>
                </c:pt>
              </c:strCache>
            </c:strRef>
          </c:xVal>
          <c:yVal>
            <c:numRef>
              <c:f>'N899CP-WI 182'!$C$29:$C$31</c:f>
              <c:numCache>
                <c:formatCode>0.0</c:formatCode>
                <c:ptCount val="3"/>
                <c:pt idx="0">
                  <c:v>0</c:v>
                </c:pt>
                <c:pt idx="1">
                  <c:v>0</c:v>
                </c:pt>
                <c:pt idx="2">
                  <c:v>0</c:v>
                </c:pt>
              </c:numCache>
            </c:numRef>
          </c:yVal>
          <c:smooth val="0"/>
          <c:extLst>
            <c:ext xmlns:c16="http://schemas.microsoft.com/office/drawing/2014/chart" uri="{C3380CC4-5D6E-409C-BE32-E72D297353CC}">
              <c16:uniqueId val="{00000002-0DA9-4DD0-ACEF-7AE47F2120E0}"/>
            </c:ext>
          </c:extLst>
        </c:ser>
        <c:dLbls>
          <c:showLegendKey val="0"/>
          <c:showVal val="0"/>
          <c:showCatName val="0"/>
          <c:showSerName val="0"/>
          <c:showPercent val="0"/>
          <c:showBubbleSize val="0"/>
        </c:dLbls>
        <c:axId val="45395968"/>
        <c:axId val="45397888"/>
      </c:scatterChart>
      <c:valAx>
        <c:axId val="45395968"/>
        <c:scaling>
          <c:orientation val="minMax"/>
          <c:max val="145"/>
          <c:min val="55"/>
        </c:scaling>
        <c:delete val="0"/>
        <c:axPos val="b"/>
        <c:majorGridlines/>
        <c:minorGridlines/>
        <c:title>
          <c:tx>
            <c:rich>
              <a:bodyPr/>
              <a:lstStyle/>
              <a:p>
                <a:pPr>
                  <a:defRPr/>
                </a:pPr>
                <a:r>
                  <a:rPr lang="en-US"/>
                  <a:t>LOADED AIRCRAFT MOMENT / 1000  (POUND-INCHES)</a:t>
                </a:r>
              </a:p>
            </c:rich>
          </c:tx>
          <c:overlay val="0"/>
        </c:title>
        <c:numFmt formatCode="General" sourceLinked="1"/>
        <c:majorTickMark val="out"/>
        <c:minorTickMark val="none"/>
        <c:tickLblPos val="nextTo"/>
        <c:crossAx val="45397888"/>
        <c:crosses val="autoZero"/>
        <c:crossBetween val="midCat"/>
        <c:majorUnit val="5"/>
        <c:minorUnit val="1"/>
      </c:valAx>
      <c:valAx>
        <c:axId val="45397888"/>
        <c:scaling>
          <c:orientation val="minMax"/>
          <c:max val="3150"/>
          <c:min val="1800"/>
        </c:scaling>
        <c:delete val="0"/>
        <c:axPos val="l"/>
        <c:majorGridlines/>
        <c:minorGridlines/>
        <c:title>
          <c:tx>
            <c:rich>
              <a:bodyPr rot="-5400000" vert="horz"/>
              <a:lstStyle/>
              <a:p>
                <a:pPr>
                  <a:defRPr/>
                </a:pPr>
                <a:r>
                  <a:rPr lang="en-US"/>
                  <a:t>LOADED AIRCRAFT WEIGHT (POUNDS)</a:t>
                </a:r>
              </a:p>
            </c:rich>
          </c:tx>
          <c:overlay val="0"/>
        </c:title>
        <c:numFmt formatCode="General" sourceLinked="1"/>
        <c:majorTickMark val="out"/>
        <c:minorTickMark val="none"/>
        <c:tickLblPos val="nextTo"/>
        <c:crossAx val="45395968"/>
        <c:crosses val="autoZero"/>
        <c:crossBetween val="midCat"/>
        <c:majorUnit val="100"/>
        <c:minorUnit val="20"/>
      </c:valAx>
    </c:plotArea>
    <c:legend>
      <c:legendPos val="r"/>
      <c:layout>
        <c:manualLayout>
          <c:xMode val="edge"/>
          <c:yMode val="edge"/>
          <c:x val="0.67988423322084734"/>
          <c:y val="0.55043011090208549"/>
          <c:w val="0.2226492782152231"/>
          <c:h val="0.23354532857230365"/>
        </c:manualLayout>
      </c:layout>
      <c:overlay val="1"/>
      <c:spPr>
        <a:solidFill>
          <a:schemeClr val="bg1"/>
        </a:solidFill>
      </c:spPr>
    </c:legend>
    <c:plotVisOnly val="1"/>
    <c:dispBlanksAs val="gap"/>
    <c:showDLblsOverMax val="0"/>
  </c:chart>
  <c:txPr>
    <a:bodyPr/>
    <a:lstStyle/>
    <a:p>
      <a:pPr>
        <a:defRPr sz="8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LOADING GRAPH</a:t>
            </a:r>
          </a:p>
        </c:rich>
      </c:tx>
      <c:layout>
        <c:manualLayout>
          <c:xMode val="edge"/>
          <c:yMode val="edge"/>
          <c:x val="0.17511154855643044"/>
          <c:y val="0.13492063492063491"/>
        </c:manualLayout>
      </c:layout>
      <c:overlay val="1"/>
      <c:spPr>
        <a:solidFill>
          <a:schemeClr val="bg1"/>
        </a:solidFill>
      </c:spPr>
    </c:title>
    <c:autoTitleDeleted val="0"/>
    <c:plotArea>
      <c:layout/>
      <c:scatterChart>
        <c:scatterStyle val="lineMarker"/>
        <c:varyColors val="0"/>
        <c:ser>
          <c:idx val="0"/>
          <c:order val="0"/>
          <c:tx>
            <c:v>Pilot &amp; Front Pax</c:v>
          </c:tx>
          <c:marker>
            <c:symbol val="none"/>
          </c:marker>
          <c:xVal>
            <c:numRef>
              <c:f>'Loading Graph Data'!$B$5:$B$6</c:f>
              <c:numCache>
                <c:formatCode>General</c:formatCode>
                <c:ptCount val="2"/>
                <c:pt idx="0">
                  <c:v>0</c:v>
                </c:pt>
                <c:pt idx="1">
                  <c:v>16.649999999999999</c:v>
                </c:pt>
              </c:numCache>
            </c:numRef>
          </c:xVal>
          <c:yVal>
            <c:numRef>
              <c:f>'Loading Graph Data'!$A$5:$A$6</c:f>
              <c:numCache>
                <c:formatCode>General</c:formatCode>
                <c:ptCount val="2"/>
                <c:pt idx="0">
                  <c:v>0</c:v>
                </c:pt>
                <c:pt idx="1">
                  <c:v>450</c:v>
                </c:pt>
              </c:numCache>
            </c:numRef>
          </c:yVal>
          <c:smooth val="0"/>
          <c:extLst>
            <c:ext xmlns:c16="http://schemas.microsoft.com/office/drawing/2014/chart" uri="{C3380CC4-5D6E-409C-BE32-E72D297353CC}">
              <c16:uniqueId val="{00000000-370C-4AE1-83CC-B0BEBEFB58DA}"/>
            </c:ext>
          </c:extLst>
        </c:ser>
        <c:ser>
          <c:idx val="1"/>
          <c:order val="1"/>
          <c:tx>
            <c:v>Fuel</c:v>
          </c:tx>
          <c:marker>
            <c:symbol val="none"/>
          </c:marker>
          <c:xVal>
            <c:numRef>
              <c:f>'Loading Graph Data'!$F$12:$F$13</c:f>
              <c:numCache>
                <c:formatCode>General</c:formatCode>
                <c:ptCount val="2"/>
                <c:pt idx="0">
                  <c:v>0</c:v>
                </c:pt>
                <c:pt idx="1">
                  <c:v>24.273</c:v>
                </c:pt>
              </c:numCache>
            </c:numRef>
          </c:xVal>
          <c:yVal>
            <c:numRef>
              <c:f>'Loading Graph Data'!$E$12:$E$13</c:f>
              <c:numCache>
                <c:formatCode>General</c:formatCode>
                <c:ptCount val="2"/>
                <c:pt idx="0">
                  <c:v>0</c:v>
                </c:pt>
                <c:pt idx="1">
                  <c:v>522</c:v>
                </c:pt>
              </c:numCache>
            </c:numRef>
          </c:yVal>
          <c:smooth val="0"/>
          <c:extLst>
            <c:ext xmlns:c16="http://schemas.microsoft.com/office/drawing/2014/chart" uri="{C3380CC4-5D6E-409C-BE32-E72D297353CC}">
              <c16:uniqueId val="{00000001-370C-4AE1-83CC-B0BEBEFB58DA}"/>
            </c:ext>
          </c:extLst>
        </c:ser>
        <c:ser>
          <c:idx val="2"/>
          <c:order val="2"/>
          <c:tx>
            <c:v>2nd Row Pax</c:v>
          </c:tx>
          <c:marker>
            <c:symbol val="none"/>
          </c:marker>
          <c:xVal>
            <c:numRef>
              <c:f>'Loading Graph Data'!$I$12:$I$13</c:f>
              <c:numCache>
                <c:formatCode>General</c:formatCode>
                <c:ptCount val="2"/>
                <c:pt idx="0">
                  <c:v>0</c:v>
                </c:pt>
                <c:pt idx="1">
                  <c:v>33.299999999999997</c:v>
                </c:pt>
              </c:numCache>
            </c:numRef>
          </c:xVal>
          <c:yVal>
            <c:numRef>
              <c:f>'Loading Graph Data'!$H$12:$H$13</c:f>
              <c:numCache>
                <c:formatCode>General</c:formatCode>
                <c:ptCount val="2"/>
                <c:pt idx="0">
                  <c:v>0</c:v>
                </c:pt>
                <c:pt idx="1">
                  <c:v>450</c:v>
                </c:pt>
              </c:numCache>
            </c:numRef>
          </c:yVal>
          <c:smooth val="0"/>
          <c:extLst>
            <c:ext xmlns:c16="http://schemas.microsoft.com/office/drawing/2014/chart" uri="{C3380CC4-5D6E-409C-BE32-E72D297353CC}">
              <c16:uniqueId val="{00000002-370C-4AE1-83CC-B0BEBEFB58DA}"/>
            </c:ext>
          </c:extLst>
        </c:ser>
        <c:ser>
          <c:idx val="3"/>
          <c:order val="3"/>
          <c:tx>
            <c:v>Baggage A</c:v>
          </c:tx>
          <c:marker>
            <c:symbol val="none"/>
          </c:marker>
          <c:xVal>
            <c:numRef>
              <c:f>'Loading Graph Data'!$L$12:$L$13</c:f>
              <c:numCache>
                <c:formatCode>0.00</c:formatCode>
                <c:ptCount val="2"/>
                <c:pt idx="0">
                  <c:v>0</c:v>
                </c:pt>
                <c:pt idx="1">
                  <c:v>11.64</c:v>
                </c:pt>
              </c:numCache>
            </c:numRef>
          </c:xVal>
          <c:yVal>
            <c:numRef>
              <c:f>'Loading Graph Data'!$K$12:$K$13</c:f>
              <c:numCache>
                <c:formatCode>General</c:formatCode>
                <c:ptCount val="2"/>
                <c:pt idx="0">
                  <c:v>0</c:v>
                </c:pt>
                <c:pt idx="1">
                  <c:v>120</c:v>
                </c:pt>
              </c:numCache>
            </c:numRef>
          </c:yVal>
          <c:smooth val="0"/>
          <c:extLst>
            <c:ext xmlns:c16="http://schemas.microsoft.com/office/drawing/2014/chart" uri="{C3380CC4-5D6E-409C-BE32-E72D297353CC}">
              <c16:uniqueId val="{00000003-370C-4AE1-83CC-B0BEBEFB58DA}"/>
            </c:ext>
          </c:extLst>
        </c:ser>
        <c:ser>
          <c:idx val="4"/>
          <c:order val="4"/>
          <c:tx>
            <c:v>Baggage B</c:v>
          </c:tx>
          <c:marker>
            <c:symbol val="none"/>
          </c:marker>
          <c:xVal>
            <c:numRef>
              <c:f>'Loading Graph Data'!$N$12:$N$13</c:f>
              <c:numCache>
                <c:formatCode>0.00</c:formatCode>
                <c:ptCount val="2"/>
                <c:pt idx="0">
                  <c:v>0</c:v>
                </c:pt>
                <c:pt idx="1">
                  <c:v>9.2799999999999994</c:v>
                </c:pt>
              </c:numCache>
            </c:numRef>
          </c:xVal>
          <c:yVal>
            <c:numRef>
              <c:f>'Loading Graph Data'!$M$12:$M$13</c:f>
              <c:numCache>
                <c:formatCode>General</c:formatCode>
                <c:ptCount val="2"/>
                <c:pt idx="0">
                  <c:v>0</c:v>
                </c:pt>
                <c:pt idx="1">
                  <c:v>80</c:v>
                </c:pt>
              </c:numCache>
            </c:numRef>
          </c:yVal>
          <c:smooth val="0"/>
          <c:extLst>
            <c:ext xmlns:c16="http://schemas.microsoft.com/office/drawing/2014/chart" uri="{C3380CC4-5D6E-409C-BE32-E72D297353CC}">
              <c16:uniqueId val="{00000004-370C-4AE1-83CC-B0BEBEFB58DA}"/>
            </c:ext>
          </c:extLst>
        </c:ser>
        <c:ser>
          <c:idx val="5"/>
          <c:order val="5"/>
          <c:tx>
            <c:v>Baggage C</c:v>
          </c:tx>
          <c:marker>
            <c:symbol val="none"/>
          </c:marker>
          <c:xVal>
            <c:numRef>
              <c:f>'Loading Graph Data'!$P$12:$P$13</c:f>
              <c:numCache>
                <c:formatCode>0.00</c:formatCode>
                <c:ptCount val="2"/>
                <c:pt idx="0">
                  <c:v>0</c:v>
                </c:pt>
                <c:pt idx="1">
                  <c:v>10.32</c:v>
                </c:pt>
              </c:numCache>
            </c:numRef>
          </c:xVal>
          <c:yVal>
            <c:numRef>
              <c:f>'Loading Graph Data'!$O$12:$O$13</c:f>
              <c:numCache>
                <c:formatCode>General</c:formatCode>
                <c:ptCount val="2"/>
                <c:pt idx="0">
                  <c:v>0</c:v>
                </c:pt>
                <c:pt idx="1">
                  <c:v>80</c:v>
                </c:pt>
              </c:numCache>
            </c:numRef>
          </c:yVal>
          <c:smooth val="0"/>
          <c:extLst>
            <c:ext xmlns:c16="http://schemas.microsoft.com/office/drawing/2014/chart" uri="{C3380CC4-5D6E-409C-BE32-E72D297353CC}">
              <c16:uniqueId val="{00000005-370C-4AE1-83CC-B0BEBEFB58DA}"/>
            </c:ext>
          </c:extLst>
        </c:ser>
        <c:dLbls>
          <c:showLegendKey val="0"/>
          <c:showVal val="0"/>
          <c:showCatName val="0"/>
          <c:showSerName val="0"/>
          <c:showPercent val="0"/>
          <c:showBubbleSize val="0"/>
        </c:dLbls>
        <c:axId val="45897984"/>
        <c:axId val="45912448"/>
      </c:scatterChart>
      <c:valAx>
        <c:axId val="45897984"/>
        <c:scaling>
          <c:orientation val="minMax"/>
        </c:scaling>
        <c:delete val="0"/>
        <c:axPos val="b"/>
        <c:majorGridlines/>
        <c:minorGridlines/>
        <c:title>
          <c:tx>
            <c:rich>
              <a:bodyPr/>
              <a:lstStyle/>
              <a:p>
                <a:pPr>
                  <a:defRPr sz="800"/>
                </a:pPr>
                <a:r>
                  <a:rPr lang="en-US" sz="800" b="1"/>
                  <a:t>LOAD MOMENT / 1000 (POUND-INCHES)</a:t>
                </a:r>
              </a:p>
            </c:rich>
          </c:tx>
          <c:overlay val="0"/>
        </c:title>
        <c:numFmt formatCode="General" sourceLinked="1"/>
        <c:majorTickMark val="none"/>
        <c:minorTickMark val="none"/>
        <c:tickLblPos val="nextTo"/>
        <c:crossAx val="45912448"/>
        <c:crosses val="autoZero"/>
        <c:crossBetween val="midCat"/>
      </c:valAx>
      <c:valAx>
        <c:axId val="45912448"/>
        <c:scaling>
          <c:orientation val="minMax"/>
        </c:scaling>
        <c:delete val="0"/>
        <c:axPos val="l"/>
        <c:majorGridlines/>
        <c:minorGridlines/>
        <c:title>
          <c:tx>
            <c:rich>
              <a:bodyPr rot="-5400000" vert="horz"/>
              <a:lstStyle/>
              <a:p>
                <a:pPr>
                  <a:defRPr sz="800"/>
                </a:pPr>
                <a:r>
                  <a:rPr lang="en-US" sz="800"/>
                  <a:t>LOAD WEIGHT (POUNDS)</a:t>
                </a:r>
              </a:p>
            </c:rich>
          </c:tx>
          <c:overlay val="0"/>
        </c:title>
        <c:numFmt formatCode="General" sourceLinked="1"/>
        <c:majorTickMark val="none"/>
        <c:minorTickMark val="none"/>
        <c:tickLblPos val="nextTo"/>
        <c:crossAx val="45897984"/>
        <c:crosses val="autoZero"/>
        <c:crossBetween val="midCat"/>
      </c:valAx>
    </c:plotArea>
    <c:legend>
      <c:legendPos val="r"/>
      <c:layout>
        <c:manualLayout>
          <c:xMode val="edge"/>
          <c:yMode val="edge"/>
          <c:x val="0.69416526059242589"/>
          <c:y val="0.47259170347608986"/>
          <c:w val="0.23440616797900263"/>
          <c:h val="0.34122591383394146"/>
        </c:manualLayout>
      </c:layout>
      <c:overlay val="1"/>
      <c:spPr>
        <a:solidFill>
          <a:schemeClr val="bg1"/>
        </a:solidFill>
      </c:spPr>
    </c:legend>
    <c:plotVisOnly val="1"/>
    <c:dispBlanksAs val="gap"/>
    <c:showDLblsOverMax val="0"/>
  </c:chart>
  <c:txPr>
    <a:bodyPr/>
    <a:lstStyle/>
    <a:p>
      <a:pPr>
        <a:defRPr sz="700"/>
      </a:pPr>
      <a:endParaRPr lang="en-US"/>
    </a:p>
  </c:txPr>
  <c:printSettings>
    <c:headerFooter/>
    <c:pageMargins b="0.75" l="0.7" r="0.7" t="0.75" header="0.3" footer="0.3"/>
    <c:pageSetup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ctr" anchorCtr="1"/>
          <a:lstStyle/>
          <a:p>
            <a:pPr>
              <a:defRPr/>
            </a:pPr>
            <a:r>
              <a:rPr lang="en-US"/>
              <a:t>CENTER OF GRAVITY MOMENT ENVELOPE</a:t>
            </a:r>
          </a:p>
        </c:rich>
      </c:tx>
      <c:layout>
        <c:manualLayout>
          <c:xMode val="edge"/>
          <c:yMode val="edge"/>
          <c:x val="0.15546869141357331"/>
          <c:y val="7.8321666821332625E-2"/>
        </c:manualLayout>
      </c:layout>
      <c:overlay val="1"/>
      <c:spPr>
        <a:solidFill>
          <a:schemeClr val="bg1"/>
        </a:solidFill>
      </c:spPr>
    </c:title>
    <c:autoTitleDeleted val="0"/>
    <c:plotArea>
      <c:layout/>
      <c:scatterChart>
        <c:scatterStyle val="lineMarker"/>
        <c:varyColors val="0"/>
        <c:ser>
          <c:idx val="0"/>
          <c:order val="0"/>
          <c:tx>
            <c:v>Takeoff &amp; Landing</c:v>
          </c:tx>
          <c:marker>
            <c:symbol val="none"/>
          </c:marker>
          <c:xVal>
            <c:numRef>
              <c:f>'Moment Envelope Data'!$G$12:$G$17</c:f>
              <c:numCache>
                <c:formatCode>General</c:formatCode>
                <c:ptCount val="6"/>
                <c:pt idx="0">
                  <c:v>59.4</c:v>
                </c:pt>
                <c:pt idx="1">
                  <c:v>74.25</c:v>
                </c:pt>
                <c:pt idx="2">
                  <c:v>95.85</c:v>
                </c:pt>
                <c:pt idx="3">
                  <c:v>115.19749999999999</c:v>
                </c:pt>
                <c:pt idx="4">
                  <c:v>135.69999999999999</c:v>
                </c:pt>
                <c:pt idx="5">
                  <c:v>82.8</c:v>
                </c:pt>
              </c:numCache>
            </c:numRef>
          </c:xVal>
          <c:yVal>
            <c:numRef>
              <c:f>'Moment Envelope Data'!$A$12:$A$17</c:f>
              <c:numCache>
                <c:formatCode>General</c:formatCode>
                <c:ptCount val="6"/>
                <c:pt idx="0">
                  <c:v>1800</c:v>
                </c:pt>
                <c:pt idx="1">
                  <c:v>2250</c:v>
                </c:pt>
                <c:pt idx="2">
                  <c:v>2700</c:v>
                </c:pt>
                <c:pt idx="3">
                  <c:v>2950</c:v>
                </c:pt>
                <c:pt idx="4">
                  <c:v>2950</c:v>
                </c:pt>
                <c:pt idx="5">
                  <c:v>1800</c:v>
                </c:pt>
              </c:numCache>
            </c:numRef>
          </c:yVal>
          <c:smooth val="0"/>
          <c:extLst>
            <c:ext xmlns:c16="http://schemas.microsoft.com/office/drawing/2014/chart" uri="{C3380CC4-5D6E-409C-BE32-E72D297353CC}">
              <c16:uniqueId val="{00000000-A4AC-47F0-87DB-0688A8AFED57}"/>
            </c:ext>
          </c:extLst>
        </c:ser>
        <c:ser>
          <c:idx val="1"/>
          <c:order val="1"/>
          <c:tx>
            <c:v>Takeoff Only</c:v>
          </c:tx>
          <c:marker>
            <c:symbol val="none"/>
          </c:marker>
          <c:xVal>
            <c:numRef>
              <c:f>'Moment Envelope Data'!$G$20:$G$23</c:f>
              <c:numCache>
                <c:formatCode>General</c:formatCode>
                <c:ptCount val="4"/>
                <c:pt idx="0">
                  <c:v>115.19749999999999</c:v>
                </c:pt>
                <c:pt idx="1">
                  <c:v>126.79</c:v>
                </c:pt>
                <c:pt idx="2">
                  <c:v>142.6</c:v>
                </c:pt>
                <c:pt idx="3">
                  <c:v>135.69999999999999</c:v>
                </c:pt>
              </c:numCache>
            </c:numRef>
          </c:xVal>
          <c:yVal>
            <c:numRef>
              <c:f>'Moment Envelope Data'!$A$20:$A$23</c:f>
              <c:numCache>
                <c:formatCode>General</c:formatCode>
                <c:ptCount val="4"/>
                <c:pt idx="0">
                  <c:v>2950</c:v>
                </c:pt>
                <c:pt idx="1">
                  <c:v>3100</c:v>
                </c:pt>
                <c:pt idx="2">
                  <c:v>3100</c:v>
                </c:pt>
                <c:pt idx="3">
                  <c:v>2950</c:v>
                </c:pt>
              </c:numCache>
            </c:numRef>
          </c:yVal>
          <c:smooth val="0"/>
          <c:extLst>
            <c:ext xmlns:c16="http://schemas.microsoft.com/office/drawing/2014/chart" uri="{C3380CC4-5D6E-409C-BE32-E72D297353CC}">
              <c16:uniqueId val="{00000001-A4AC-47F0-87DB-0688A8AFED57}"/>
            </c:ext>
          </c:extLst>
        </c:ser>
        <c:ser>
          <c:idx val="2"/>
          <c:order val="2"/>
          <c:tx>
            <c:v>W&amp;B Trend</c:v>
          </c:tx>
          <c:marker>
            <c:symbol val="none"/>
          </c:marker>
          <c:xVal>
            <c:strRef>
              <c:f>N883CP!$B$29:$B$31</c:f>
              <c:strCache>
                <c:ptCount val="1"/>
                <c:pt idx="0">
                  <c:v>#VALUE!</c:v>
                </c:pt>
              </c:strCache>
            </c:strRef>
          </c:xVal>
          <c:yVal>
            <c:numRef>
              <c:f>N883CP!$C$29:$C$31</c:f>
              <c:numCache>
                <c:formatCode>0.0</c:formatCode>
                <c:ptCount val="3"/>
                <c:pt idx="0">
                  <c:v>0</c:v>
                </c:pt>
                <c:pt idx="1">
                  <c:v>0</c:v>
                </c:pt>
                <c:pt idx="2">
                  <c:v>0</c:v>
                </c:pt>
              </c:numCache>
            </c:numRef>
          </c:yVal>
          <c:smooth val="0"/>
          <c:extLst>
            <c:ext xmlns:c16="http://schemas.microsoft.com/office/drawing/2014/chart" uri="{C3380CC4-5D6E-409C-BE32-E72D297353CC}">
              <c16:uniqueId val="{00000002-A4AC-47F0-87DB-0688A8AFED57}"/>
            </c:ext>
          </c:extLst>
        </c:ser>
        <c:dLbls>
          <c:showLegendKey val="0"/>
          <c:showVal val="0"/>
          <c:showCatName val="0"/>
          <c:showSerName val="0"/>
          <c:showPercent val="0"/>
          <c:showBubbleSize val="0"/>
        </c:dLbls>
        <c:axId val="46146304"/>
        <c:axId val="46148224"/>
      </c:scatterChart>
      <c:valAx>
        <c:axId val="46146304"/>
        <c:scaling>
          <c:orientation val="minMax"/>
          <c:max val="145"/>
          <c:min val="55"/>
        </c:scaling>
        <c:delete val="0"/>
        <c:axPos val="b"/>
        <c:majorGridlines/>
        <c:minorGridlines/>
        <c:title>
          <c:tx>
            <c:rich>
              <a:bodyPr/>
              <a:lstStyle/>
              <a:p>
                <a:pPr>
                  <a:defRPr/>
                </a:pPr>
                <a:r>
                  <a:rPr lang="en-US"/>
                  <a:t>LOADED AIRCRAFT MOMENT / 1000  (POUND-INCHES)</a:t>
                </a:r>
              </a:p>
            </c:rich>
          </c:tx>
          <c:overlay val="0"/>
        </c:title>
        <c:numFmt formatCode="General" sourceLinked="1"/>
        <c:majorTickMark val="out"/>
        <c:minorTickMark val="none"/>
        <c:tickLblPos val="nextTo"/>
        <c:crossAx val="46148224"/>
        <c:crosses val="autoZero"/>
        <c:crossBetween val="midCat"/>
        <c:majorUnit val="5"/>
        <c:minorUnit val="1"/>
      </c:valAx>
      <c:valAx>
        <c:axId val="46148224"/>
        <c:scaling>
          <c:orientation val="minMax"/>
          <c:max val="3150"/>
          <c:min val="1800"/>
        </c:scaling>
        <c:delete val="0"/>
        <c:axPos val="l"/>
        <c:majorGridlines/>
        <c:minorGridlines/>
        <c:title>
          <c:tx>
            <c:rich>
              <a:bodyPr rot="-5400000" vert="horz"/>
              <a:lstStyle/>
              <a:p>
                <a:pPr>
                  <a:defRPr/>
                </a:pPr>
                <a:r>
                  <a:rPr lang="en-US"/>
                  <a:t>LOADED AIRCRAFT WEIGHT (POUNDS)</a:t>
                </a:r>
              </a:p>
            </c:rich>
          </c:tx>
          <c:overlay val="0"/>
        </c:title>
        <c:numFmt formatCode="General" sourceLinked="1"/>
        <c:majorTickMark val="out"/>
        <c:minorTickMark val="none"/>
        <c:tickLblPos val="nextTo"/>
        <c:crossAx val="46146304"/>
        <c:crosses val="autoZero"/>
        <c:crossBetween val="midCat"/>
        <c:majorUnit val="100"/>
        <c:minorUnit val="20"/>
      </c:valAx>
    </c:plotArea>
    <c:legend>
      <c:legendPos val="r"/>
      <c:layout>
        <c:manualLayout>
          <c:xMode val="edge"/>
          <c:yMode val="edge"/>
          <c:x val="0.67988423322084734"/>
          <c:y val="0.55043011090208549"/>
          <c:w val="0.2226492782152231"/>
          <c:h val="0.23354532857230365"/>
        </c:manualLayout>
      </c:layout>
      <c:overlay val="1"/>
      <c:spPr>
        <a:solidFill>
          <a:schemeClr val="bg1"/>
        </a:solidFill>
      </c:spPr>
    </c:legend>
    <c:plotVisOnly val="1"/>
    <c:dispBlanksAs val="gap"/>
    <c:showDLblsOverMax val="0"/>
  </c:chart>
  <c:txPr>
    <a:bodyPr/>
    <a:lstStyle/>
    <a:p>
      <a:pPr>
        <a:defRPr sz="80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LOADING GRAPH</a:t>
            </a:r>
          </a:p>
        </c:rich>
      </c:tx>
      <c:layout>
        <c:manualLayout>
          <c:xMode val="edge"/>
          <c:yMode val="edge"/>
          <c:x val="0.17511154855643044"/>
          <c:y val="0.13492063492063491"/>
        </c:manualLayout>
      </c:layout>
      <c:overlay val="1"/>
      <c:spPr>
        <a:solidFill>
          <a:schemeClr val="bg1"/>
        </a:solidFill>
      </c:spPr>
    </c:title>
    <c:autoTitleDeleted val="0"/>
    <c:plotArea>
      <c:layout/>
      <c:scatterChart>
        <c:scatterStyle val="lineMarker"/>
        <c:varyColors val="0"/>
        <c:ser>
          <c:idx val="0"/>
          <c:order val="0"/>
          <c:tx>
            <c:v>Pilot &amp; Front Pax</c:v>
          </c:tx>
          <c:marker>
            <c:symbol val="none"/>
          </c:marker>
          <c:xVal>
            <c:numRef>
              <c:f>'Loading Graph Data'!$B$5:$B$6</c:f>
              <c:numCache>
                <c:formatCode>General</c:formatCode>
                <c:ptCount val="2"/>
                <c:pt idx="0">
                  <c:v>0</c:v>
                </c:pt>
                <c:pt idx="1">
                  <c:v>16.649999999999999</c:v>
                </c:pt>
              </c:numCache>
            </c:numRef>
          </c:xVal>
          <c:yVal>
            <c:numRef>
              <c:f>'Loading Graph Data'!$A$5:$A$6</c:f>
              <c:numCache>
                <c:formatCode>General</c:formatCode>
                <c:ptCount val="2"/>
                <c:pt idx="0">
                  <c:v>0</c:v>
                </c:pt>
                <c:pt idx="1">
                  <c:v>450</c:v>
                </c:pt>
              </c:numCache>
            </c:numRef>
          </c:yVal>
          <c:smooth val="0"/>
          <c:extLst>
            <c:ext xmlns:c16="http://schemas.microsoft.com/office/drawing/2014/chart" uri="{C3380CC4-5D6E-409C-BE32-E72D297353CC}">
              <c16:uniqueId val="{00000000-2FBC-4ABB-B439-20481CFD50A5}"/>
            </c:ext>
          </c:extLst>
        </c:ser>
        <c:ser>
          <c:idx val="1"/>
          <c:order val="1"/>
          <c:tx>
            <c:v>Fuel</c:v>
          </c:tx>
          <c:marker>
            <c:symbol val="none"/>
          </c:marker>
          <c:xVal>
            <c:numRef>
              <c:f>'Loading Graph Data'!$F$5:$F$6</c:f>
              <c:numCache>
                <c:formatCode>General</c:formatCode>
                <c:ptCount val="2"/>
                <c:pt idx="0">
                  <c:v>0</c:v>
                </c:pt>
                <c:pt idx="1">
                  <c:v>14.4</c:v>
                </c:pt>
              </c:numCache>
            </c:numRef>
          </c:xVal>
          <c:yVal>
            <c:numRef>
              <c:f>'Loading Graph Data'!$E$5:$E$6</c:f>
              <c:numCache>
                <c:formatCode>General</c:formatCode>
                <c:ptCount val="2"/>
                <c:pt idx="0">
                  <c:v>0</c:v>
                </c:pt>
                <c:pt idx="1">
                  <c:v>300</c:v>
                </c:pt>
              </c:numCache>
            </c:numRef>
          </c:yVal>
          <c:smooth val="0"/>
          <c:extLst>
            <c:ext xmlns:c16="http://schemas.microsoft.com/office/drawing/2014/chart" uri="{C3380CC4-5D6E-409C-BE32-E72D297353CC}">
              <c16:uniqueId val="{00000001-2FBC-4ABB-B439-20481CFD50A5}"/>
            </c:ext>
          </c:extLst>
        </c:ser>
        <c:ser>
          <c:idx val="2"/>
          <c:order val="2"/>
          <c:tx>
            <c:v>2nd Row Pax</c:v>
          </c:tx>
          <c:marker>
            <c:symbol val="none"/>
          </c:marker>
          <c:xVal>
            <c:numRef>
              <c:f>'Loading Graph Data'!$I$5:$I$6</c:f>
              <c:numCache>
                <c:formatCode>General</c:formatCode>
                <c:ptCount val="2"/>
                <c:pt idx="0">
                  <c:v>0</c:v>
                </c:pt>
                <c:pt idx="1">
                  <c:v>32.85</c:v>
                </c:pt>
              </c:numCache>
            </c:numRef>
          </c:xVal>
          <c:yVal>
            <c:numRef>
              <c:f>'Loading Graph Data'!$H$5:$H$6</c:f>
              <c:numCache>
                <c:formatCode>General</c:formatCode>
                <c:ptCount val="2"/>
                <c:pt idx="0">
                  <c:v>0</c:v>
                </c:pt>
                <c:pt idx="1">
                  <c:v>450</c:v>
                </c:pt>
              </c:numCache>
            </c:numRef>
          </c:yVal>
          <c:smooth val="0"/>
          <c:extLst>
            <c:ext xmlns:c16="http://schemas.microsoft.com/office/drawing/2014/chart" uri="{C3380CC4-5D6E-409C-BE32-E72D297353CC}">
              <c16:uniqueId val="{00000002-2FBC-4ABB-B439-20481CFD50A5}"/>
            </c:ext>
          </c:extLst>
        </c:ser>
        <c:ser>
          <c:idx val="3"/>
          <c:order val="3"/>
          <c:tx>
            <c:v>Baggage A</c:v>
          </c:tx>
          <c:marker>
            <c:symbol val="none"/>
          </c:marker>
          <c:xVal>
            <c:numRef>
              <c:f>'Loading Graph Data'!$L$5:$L$6</c:f>
              <c:numCache>
                <c:formatCode>0.00</c:formatCode>
                <c:ptCount val="2"/>
                <c:pt idx="0">
                  <c:v>0</c:v>
                </c:pt>
                <c:pt idx="1">
                  <c:v>11.4</c:v>
                </c:pt>
              </c:numCache>
            </c:numRef>
          </c:xVal>
          <c:yVal>
            <c:numRef>
              <c:f>'Loading Graph Data'!$K$5:$K$6</c:f>
              <c:numCache>
                <c:formatCode>General</c:formatCode>
                <c:ptCount val="2"/>
                <c:pt idx="0">
                  <c:v>0</c:v>
                </c:pt>
                <c:pt idx="1">
                  <c:v>120</c:v>
                </c:pt>
              </c:numCache>
            </c:numRef>
          </c:yVal>
          <c:smooth val="0"/>
          <c:extLst>
            <c:ext xmlns:c16="http://schemas.microsoft.com/office/drawing/2014/chart" uri="{C3380CC4-5D6E-409C-BE32-E72D297353CC}">
              <c16:uniqueId val="{00000003-2FBC-4ABB-B439-20481CFD50A5}"/>
            </c:ext>
          </c:extLst>
        </c:ser>
        <c:ser>
          <c:idx val="4"/>
          <c:order val="4"/>
          <c:tx>
            <c:v>Baggage B</c:v>
          </c:tx>
          <c:marker>
            <c:symbol val="none"/>
          </c:marker>
          <c:xVal>
            <c:numRef>
              <c:f>'Loading Graph Data'!$N$5:$N$6</c:f>
              <c:numCache>
                <c:formatCode>0.00</c:formatCode>
                <c:ptCount val="2"/>
                <c:pt idx="0">
                  <c:v>0</c:v>
                </c:pt>
                <c:pt idx="1">
                  <c:v>6.15</c:v>
                </c:pt>
              </c:numCache>
            </c:numRef>
          </c:xVal>
          <c:yVal>
            <c:numRef>
              <c:f>'Loading Graph Data'!$M$5:$M$6</c:f>
              <c:numCache>
                <c:formatCode>General</c:formatCode>
                <c:ptCount val="2"/>
                <c:pt idx="0">
                  <c:v>0</c:v>
                </c:pt>
                <c:pt idx="1">
                  <c:v>50</c:v>
                </c:pt>
              </c:numCache>
            </c:numRef>
          </c:yVal>
          <c:smooth val="0"/>
          <c:extLst>
            <c:ext xmlns:c16="http://schemas.microsoft.com/office/drawing/2014/chart" uri="{C3380CC4-5D6E-409C-BE32-E72D297353CC}">
              <c16:uniqueId val="{00000004-2FBC-4ABB-B439-20481CFD50A5}"/>
            </c:ext>
          </c:extLst>
        </c:ser>
        <c:dLbls>
          <c:showLegendKey val="0"/>
          <c:showVal val="0"/>
          <c:showCatName val="0"/>
          <c:showSerName val="0"/>
          <c:showPercent val="0"/>
          <c:showBubbleSize val="0"/>
        </c:dLbls>
        <c:axId val="46209664"/>
        <c:axId val="46215936"/>
      </c:scatterChart>
      <c:valAx>
        <c:axId val="46209664"/>
        <c:scaling>
          <c:orientation val="minMax"/>
        </c:scaling>
        <c:delete val="0"/>
        <c:axPos val="b"/>
        <c:majorGridlines/>
        <c:minorGridlines/>
        <c:title>
          <c:tx>
            <c:rich>
              <a:bodyPr/>
              <a:lstStyle/>
              <a:p>
                <a:pPr>
                  <a:defRPr sz="800"/>
                </a:pPr>
                <a:r>
                  <a:rPr lang="en-US" sz="800" b="1"/>
                  <a:t>LOAD MOMENT / 1000 (POUND-INCHES)</a:t>
                </a:r>
              </a:p>
            </c:rich>
          </c:tx>
          <c:overlay val="0"/>
        </c:title>
        <c:numFmt formatCode="General" sourceLinked="1"/>
        <c:majorTickMark val="none"/>
        <c:minorTickMark val="none"/>
        <c:tickLblPos val="nextTo"/>
        <c:crossAx val="46215936"/>
        <c:crosses val="autoZero"/>
        <c:crossBetween val="midCat"/>
      </c:valAx>
      <c:valAx>
        <c:axId val="46215936"/>
        <c:scaling>
          <c:orientation val="minMax"/>
        </c:scaling>
        <c:delete val="0"/>
        <c:axPos val="l"/>
        <c:majorGridlines/>
        <c:minorGridlines/>
        <c:title>
          <c:tx>
            <c:rich>
              <a:bodyPr rot="-5400000" vert="horz"/>
              <a:lstStyle/>
              <a:p>
                <a:pPr>
                  <a:defRPr sz="800"/>
                </a:pPr>
                <a:r>
                  <a:rPr lang="en-US" sz="800"/>
                  <a:t>LOAD WEIGHT (POUNDS)</a:t>
                </a:r>
              </a:p>
            </c:rich>
          </c:tx>
          <c:overlay val="0"/>
        </c:title>
        <c:numFmt formatCode="General" sourceLinked="1"/>
        <c:majorTickMark val="none"/>
        <c:minorTickMark val="none"/>
        <c:tickLblPos val="nextTo"/>
        <c:crossAx val="46209664"/>
        <c:crosses val="autoZero"/>
        <c:crossBetween val="midCat"/>
      </c:valAx>
    </c:plotArea>
    <c:legend>
      <c:legendPos val="r"/>
      <c:layout>
        <c:manualLayout>
          <c:xMode val="edge"/>
          <c:yMode val="edge"/>
          <c:x val="0.69714145106861647"/>
          <c:y val="0.5073465816772903"/>
          <c:w val="0.23142997750281216"/>
          <c:h val="0.28689382577177852"/>
        </c:manualLayout>
      </c:layout>
      <c:overlay val="1"/>
      <c:spPr>
        <a:solidFill>
          <a:schemeClr val="bg1"/>
        </a:solidFill>
      </c:spPr>
    </c:legend>
    <c:plotVisOnly val="1"/>
    <c:dispBlanksAs val="gap"/>
    <c:showDLblsOverMax val="0"/>
  </c:chart>
  <c:txPr>
    <a:bodyPr/>
    <a:lstStyle/>
    <a:p>
      <a:pPr>
        <a:defRPr sz="700"/>
      </a:pPr>
      <a:endParaRPr lang="en-US"/>
    </a:p>
  </c:txPr>
  <c:printSettings>
    <c:headerFooter/>
    <c:pageMargins b="0.75" l="0.7" r="0.7" t="0.75" header="0.3" footer="0.3"/>
    <c:pageSetup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ctr" anchorCtr="1"/>
          <a:lstStyle/>
          <a:p>
            <a:pPr>
              <a:defRPr/>
            </a:pPr>
            <a:r>
              <a:rPr lang="en-US"/>
              <a:t>CENTER OF GRAVITY MOMENT ENVELOPE</a:t>
            </a:r>
          </a:p>
        </c:rich>
      </c:tx>
      <c:layout>
        <c:manualLayout>
          <c:xMode val="edge"/>
          <c:yMode val="edge"/>
          <c:x val="0.15546869141357331"/>
          <c:y val="7.8321666821332625E-2"/>
        </c:manualLayout>
      </c:layout>
      <c:overlay val="1"/>
      <c:spPr>
        <a:solidFill>
          <a:schemeClr val="bg1"/>
        </a:solidFill>
      </c:spPr>
    </c:title>
    <c:autoTitleDeleted val="0"/>
    <c:plotArea>
      <c:layout/>
      <c:scatterChart>
        <c:scatterStyle val="lineMarker"/>
        <c:varyColors val="0"/>
        <c:ser>
          <c:idx val="0"/>
          <c:order val="0"/>
          <c:tx>
            <c:v>Normal</c:v>
          </c:tx>
          <c:marker>
            <c:symbol val="none"/>
          </c:marker>
          <c:xVal>
            <c:numRef>
              <c:f>'Moment Envelope Data'!$G$3:$G$8</c:f>
              <c:numCache>
                <c:formatCode>General</c:formatCode>
                <c:ptCount val="6"/>
                <c:pt idx="0">
                  <c:v>52.5</c:v>
                </c:pt>
                <c:pt idx="1">
                  <c:v>68.25</c:v>
                </c:pt>
                <c:pt idx="2">
                  <c:v>82.5</c:v>
                </c:pt>
                <c:pt idx="3">
                  <c:v>104.55</c:v>
                </c:pt>
                <c:pt idx="4">
                  <c:v>120.61499999999999</c:v>
                </c:pt>
                <c:pt idx="5">
                  <c:v>70.95</c:v>
                </c:pt>
              </c:numCache>
            </c:numRef>
          </c:xVal>
          <c:yVal>
            <c:numRef>
              <c:f>'Moment Envelope Data'!$A$3:$A$8</c:f>
              <c:numCache>
                <c:formatCode>General</c:formatCode>
                <c:ptCount val="6"/>
                <c:pt idx="0">
                  <c:v>1500</c:v>
                </c:pt>
                <c:pt idx="1">
                  <c:v>1950</c:v>
                </c:pt>
                <c:pt idx="2">
                  <c:v>2200</c:v>
                </c:pt>
                <c:pt idx="3">
                  <c:v>2550</c:v>
                </c:pt>
                <c:pt idx="4">
                  <c:v>2550</c:v>
                </c:pt>
                <c:pt idx="5">
                  <c:v>1500</c:v>
                </c:pt>
              </c:numCache>
            </c:numRef>
          </c:yVal>
          <c:smooth val="0"/>
          <c:extLst>
            <c:ext xmlns:c16="http://schemas.microsoft.com/office/drawing/2014/chart" uri="{C3380CC4-5D6E-409C-BE32-E72D297353CC}">
              <c16:uniqueId val="{00000000-F1CB-4506-AA02-54E85B12B6B1}"/>
            </c:ext>
          </c:extLst>
        </c:ser>
        <c:ser>
          <c:idx val="1"/>
          <c:order val="1"/>
          <c:tx>
            <c:v>Utility</c:v>
          </c:tx>
          <c:marker>
            <c:symbol val="none"/>
          </c:marker>
          <c:xVal>
            <c:numRef>
              <c:f>'Moment Envelope Data'!$H$3:$H$8</c:f>
              <c:numCache>
                <c:formatCode>General</c:formatCode>
                <c:ptCount val="6"/>
                <c:pt idx="0">
                  <c:v>52.5</c:v>
                </c:pt>
                <c:pt idx="1">
                  <c:v>68.25</c:v>
                </c:pt>
                <c:pt idx="2">
                  <c:v>82.5</c:v>
                </c:pt>
                <c:pt idx="3">
                  <c:v>82.5</c:v>
                </c:pt>
                <c:pt idx="4">
                  <c:v>89.1</c:v>
                </c:pt>
                <c:pt idx="5">
                  <c:v>60.75</c:v>
                </c:pt>
              </c:numCache>
            </c:numRef>
          </c:xVal>
          <c:yVal>
            <c:numRef>
              <c:f>'Moment Envelope Data'!$C$3:$C$8</c:f>
              <c:numCache>
                <c:formatCode>General</c:formatCode>
                <c:ptCount val="6"/>
                <c:pt idx="0">
                  <c:v>1500</c:v>
                </c:pt>
                <c:pt idx="1">
                  <c:v>1950</c:v>
                </c:pt>
                <c:pt idx="2">
                  <c:v>2200</c:v>
                </c:pt>
                <c:pt idx="3">
                  <c:v>2200</c:v>
                </c:pt>
                <c:pt idx="4">
                  <c:v>2200</c:v>
                </c:pt>
                <c:pt idx="5">
                  <c:v>1500</c:v>
                </c:pt>
              </c:numCache>
            </c:numRef>
          </c:yVal>
          <c:smooth val="0"/>
          <c:extLst>
            <c:ext xmlns:c16="http://schemas.microsoft.com/office/drawing/2014/chart" uri="{C3380CC4-5D6E-409C-BE32-E72D297353CC}">
              <c16:uniqueId val="{00000001-F1CB-4506-AA02-54E85B12B6B1}"/>
            </c:ext>
          </c:extLst>
        </c:ser>
        <c:ser>
          <c:idx val="2"/>
          <c:order val="2"/>
          <c:tx>
            <c:v>W&amp;B Trend</c:v>
          </c:tx>
          <c:marker>
            <c:symbol val="none"/>
          </c:marker>
          <c:xVal>
            <c:strRef>
              <c:f>Template!$B$28:$B$30</c:f>
              <c:strCache>
                <c:ptCount val="1"/>
                <c:pt idx="0">
                  <c:v>#VALUE!</c:v>
                </c:pt>
              </c:strCache>
            </c:strRef>
          </c:xVal>
          <c:yVal>
            <c:numRef>
              <c:f>Template!$C$28:$C$30</c:f>
              <c:numCache>
                <c:formatCode>0.0</c:formatCode>
                <c:ptCount val="3"/>
                <c:pt idx="0">
                  <c:v>0</c:v>
                </c:pt>
                <c:pt idx="1">
                  <c:v>0</c:v>
                </c:pt>
                <c:pt idx="2">
                  <c:v>0</c:v>
                </c:pt>
              </c:numCache>
            </c:numRef>
          </c:yVal>
          <c:smooth val="0"/>
          <c:extLst>
            <c:ext xmlns:c16="http://schemas.microsoft.com/office/drawing/2014/chart" uri="{C3380CC4-5D6E-409C-BE32-E72D297353CC}">
              <c16:uniqueId val="{00000002-F1CB-4506-AA02-54E85B12B6B1}"/>
            </c:ext>
          </c:extLst>
        </c:ser>
        <c:dLbls>
          <c:showLegendKey val="0"/>
          <c:showVal val="0"/>
          <c:showCatName val="0"/>
          <c:showSerName val="0"/>
          <c:showPercent val="0"/>
          <c:showBubbleSize val="0"/>
        </c:dLbls>
        <c:axId val="46256896"/>
        <c:axId val="46258816"/>
      </c:scatterChart>
      <c:valAx>
        <c:axId val="46256896"/>
        <c:scaling>
          <c:orientation val="minMax"/>
          <c:max val="125"/>
          <c:min val="50"/>
        </c:scaling>
        <c:delete val="0"/>
        <c:axPos val="b"/>
        <c:majorGridlines/>
        <c:minorGridlines/>
        <c:title>
          <c:tx>
            <c:rich>
              <a:bodyPr/>
              <a:lstStyle/>
              <a:p>
                <a:pPr>
                  <a:defRPr/>
                </a:pPr>
                <a:r>
                  <a:rPr lang="en-US"/>
                  <a:t>LOADED AIRCRAFT MOMENT / 1000  (POUND-INCHES)</a:t>
                </a:r>
              </a:p>
            </c:rich>
          </c:tx>
          <c:overlay val="0"/>
        </c:title>
        <c:numFmt formatCode="General" sourceLinked="1"/>
        <c:majorTickMark val="out"/>
        <c:minorTickMark val="none"/>
        <c:tickLblPos val="nextTo"/>
        <c:crossAx val="46258816"/>
        <c:crosses val="autoZero"/>
        <c:crossBetween val="midCat"/>
        <c:majorUnit val="5"/>
        <c:minorUnit val="1"/>
      </c:valAx>
      <c:valAx>
        <c:axId val="46258816"/>
        <c:scaling>
          <c:orientation val="minMax"/>
          <c:max val="2600"/>
          <c:min val="1500"/>
        </c:scaling>
        <c:delete val="0"/>
        <c:axPos val="l"/>
        <c:majorGridlines/>
        <c:minorGridlines/>
        <c:title>
          <c:tx>
            <c:rich>
              <a:bodyPr rot="-5400000" vert="horz"/>
              <a:lstStyle/>
              <a:p>
                <a:pPr>
                  <a:defRPr/>
                </a:pPr>
                <a:r>
                  <a:rPr lang="en-US"/>
                  <a:t>LOADED AIRCRAFT WEIGHT (POUNDS)</a:t>
                </a:r>
              </a:p>
            </c:rich>
          </c:tx>
          <c:overlay val="0"/>
        </c:title>
        <c:numFmt formatCode="General" sourceLinked="1"/>
        <c:majorTickMark val="out"/>
        <c:minorTickMark val="none"/>
        <c:tickLblPos val="nextTo"/>
        <c:crossAx val="46256896"/>
        <c:crosses val="autoZero"/>
        <c:crossBetween val="midCat"/>
        <c:majorUnit val="100"/>
        <c:minorUnit val="20"/>
      </c:valAx>
    </c:plotArea>
    <c:legend>
      <c:legendPos val="r"/>
      <c:layout>
        <c:manualLayout>
          <c:xMode val="edge"/>
          <c:yMode val="edge"/>
          <c:x val="0.66797956465291941"/>
          <c:y val="0.58920124233963"/>
          <c:w val="0.20181594488188975"/>
          <c:h val="0.17529869129105352"/>
        </c:manualLayout>
      </c:layout>
      <c:overlay val="1"/>
      <c:spPr>
        <a:solidFill>
          <a:schemeClr val="bg1"/>
        </a:solidFill>
      </c:spPr>
    </c:legend>
    <c:plotVisOnly val="1"/>
    <c:dispBlanksAs val="gap"/>
    <c:showDLblsOverMax val="0"/>
  </c:chart>
  <c:txPr>
    <a:bodyPr/>
    <a:lstStyle/>
    <a:p>
      <a:pPr>
        <a:defRPr sz="800"/>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ctr" anchorCtr="1"/>
          <a:lstStyle/>
          <a:p>
            <a:pPr>
              <a:defRPr/>
            </a:pPr>
            <a:r>
              <a:rPr lang="en-US"/>
              <a:t>CENTER OF GRAVITY MOMENT ENVELOPE</a:t>
            </a:r>
          </a:p>
        </c:rich>
      </c:tx>
      <c:layout>
        <c:manualLayout>
          <c:xMode val="edge"/>
          <c:yMode val="edge"/>
          <c:x val="0.15546869141357331"/>
          <c:y val="7.8321666821332625E-2"/>
        </c:manualLayout>
      </c:layout>
      <c:overlay val="1"/>
      <c:spPr>
        <a:solidFill>
          <a:schemeClr val="bg1"/>
        </a:solidFill>
      </c:spPr>
    </c:title>
    <c:autoTitleDeleted val="0"/>
    <c:plotArea>
      <c:layout/>
      <c:scatterChart>
        <c:scatterStyle val="lineMarker"/>
        <c:varyColors val="0"/>
        <c:ser>
          <c:idx val="0"/>
          <c:order val="0"/>
          <c:tx>
            <c:v>Takeoff &amp; Landing</c:v>
          </c:tx>
          <c:marker>
            <c:symbol val="none"/>
          </c:marker>
          <c:xVal>
            <c:numRef>
              <c:f>'Moment Envelope Data'!$G$12:$G$17</c:f>
              <c:numCache>
                <c:formatCode>General</c:formatCode>
                <c:ptCount val="6"/>
                <c:pt idx="0">
                  <c:v>59.4</c:v>
                </c:pt>
                <c:pt idx="1">
                  <c:v>74.25</c:v>
                </c:pt>
                <c:pt idx="2">
                  <c:v>95.85</c:v>
                </c:pt>
                <c:pt idx="3">
                  <c:v>115.19749999999999</c:v>
                </c:pt>
                <c:pt idx="4">
                  <c:v>135.69999999999999</c:v>
                </c:pt>
                <c:pt idx="5">
                  <c:v>82.8</c:v>
                </c:pt>
              </c:numCache>
            </c:numRef>
          </c:xVal>
          <c:yVal>
            <c:numRef>
              <c:f>'Moment Envelope Data'!$A$12:$A$17</c:f>
              <c:numCache>
                <c:formatCode>General</c:formatCode>
                <c:ptCount val="6"/>
                <c:pt idx="0">
                  <c:v>1800</c:v>
                </c:pt>
                <c:pt idx="1">
                  <c:v>2250</c:v>
                </c:pt>
                <c:pt idx="2">
                  <c:v>2700</c:v>
                </c:pt>
                <c:pt idx="3">
                  <c:v>2950</c:v>
                </c:pt>
                <c:pt idx="4">
                  <c:v>2950</c:v>
                </c:pt>
                <c:pt idx="5">
                  <c:v>1800</c:v>
                </c:pt>
              </c:numCache>
            </c:numRef>
          </c:yVal>
          <c:smooth val="0"/>
          <c:extLst>
            <c:ext xmlns:c16="http://schemas.microsoft.com/office/drawing/2014/chart" uri="{C3380CC4-5D6E-409C-BE32-E72D297353CC}">
              <c16:uniqueId val="{00000000-51B6-45DE-B984-4C58644B340B}"/>
            </c:ext>
          </c:extLst>
        </c:ser>
        <c:ser>
          <c:idx val="1"/>
          <c:order val="1"/>
          <c:tx>
            <c:v>Takeoff Only</c:v>
          </c:tx>
          <c:marker>
            <c:symbol val="none"/>
          </c:marker>
          <c:xVal>
            <c:numRef>
              <c:f>'Moment Envelope Data'!$G$20:$G$23</c:f>
              <c:numCache>
                <c:formatCode>General</c:formatCode>
                <c:ptCount val="4"/>
                <c:pt idx="0">
                  <c:v>115.19749999999999</c:v>
                </c:pt>
                <c:pt idx="1">
                  <c:v>126.79</c:v>
                </c:pt>
                <c:pt idx="2">
                  <c:v>142.6</c:v>
                </c:pt>
                <c:pt idx="3">
                  <c:v>135.69999999999999</c:v>
                </c:pt>
              </c:numCache>
            </c:numRef>
          </c:xVal>
          <c:yVal>
            <c:numRef>
              <c:f>'Moment Envelope Data'!$A$20:$A$23</c:f>
              <c:numCache>
                <c:formatCode>General</c:formatCode>
                <c:ptCount val="4"/>
                <c:pt idx="0">
                  <c:v>2950</c:v>
                </c:pt>
                <c:pt idx="1">
                  <c:v>3100</c:v>
                </c:pt>
                <c:pt idx="2">
                  <c:v>3100</c:v>
                </c:pt>
                <c:pt idx="3">
                  <c:v>2950</c:v>
                </c:pt>
              </c:numCache>
            </c:numRef>
          </c:yVal>
          <c:smooth val="0"/>
          <c:extLst>
            <c:ext xmlns:c16="http://schemas.microsoft.com/office/drawing/2014/chart" uri="{C3380CC4-5D6E-409C-BE32-E72D297353CC}">
              <c16:uniqueId val="{00000001-51B6-45DE-B984-4C58644B340B}"/>
            </c:ext>
          </c:extLst>
        </c:ser>
        <c:ser>
          <c:idx val="2"/>
          <c:order val="2"/>
          <c:tx>
            <c:v>W&amp;B Trend</c:v>
          </c:tx>
          <c:marker>
            <c:symbol val="none"/>
          </c:marker>
          <c:xVal>
            <c:numRef>
              <c:f>N950CP!$B$29:$B$31</c:f>
              <c:numCache>
                <c:formatCode>0.00</c:formatCode>
                <c:ptCount val="3"/>
                <c:pt idx="0">
                  <c:v>103.56323999999999</c:v>
                </c:pt>
                <c:pt idx="1">
                  <c:v>117.88524</c:v>
                </c:pt>
                <c:pt idx="2">
                  <c:v>121.51223999999999</c:v>
                </c:pt>
              </c:numCache>
            </c:numRef>
          </c:xVal>
          <c:yVal>
            <c:numRef>
              <c:f>N950CP!$C$29:$C$31</c:f>
              <c:numCache>
                <c:formatCode>0.0</c:formatCode>
                <c:ptCount val="3"/>
                <c:pt idx="0">
                  <c:v>2544.9700000000003</c:v>
                </c:pt>
                <c:pt idx="1">
                  <c:v>2852.9700000000003</c:v>
                </c:pt>
                <c:pt idx="2">
                  <c:v>2930.9700000000003</c:v>
                </c:pt>
              </c:numCache>
            </c:numRef>
          </c:yVal>
          <c:smooth val="0"/>
          <c:extLst>
            <c:ext xmlns:c16="http://schemas.microsoft.com/office/drawing/2014/chart" uri="{C3380CC4-5D6E-409C-BE32-E72D297353CC}">
              <c16:uniqueId val="{00000002-51B6-45DE-B984-4C58644B340B}"/>
            </c:ext>
          </c:extLst>
        </c:ser>
        <c:dLbls>
          <c:showLegendKey val="0"/>
          <c:showVal val="0"/>
          <c:showCatName val="0"/>
          <c:showSerName val="0"/>
          <c:showPercent val="0"/>
          <c:showBubbleSize val="0"/>
        </c:dLbls>
        <c:axId val="46405504"/>
        <c:axId val="46419968"/>
      </c:scatterChart>
      <c:valAx>
        <c:axId val="46405504"/>
        <c:scaling>
          <c:orientation val="minMax"/>
          <c:max val="145"/>
          <c:min val="55"/>
        </c:scaling>
        <c:delete val="0"/>
        <c:axPos val="b"/>
        <c:majorGridlines/>
        <c:minorGridlines/>
        <c:title>
          <c:tx>
            <c:rich>
              <a:bodyPr/>
              <a:lstStyle/>
              <a:p>
                <a:pPr>
                  <a:defRPr/>
                </a:pPr>
                <a:r>
                  <a:rPr lang="en-US"/>
                  <a:t>LOADED AIRCRAFT MOMENT / 1000  (POUND-INCHES)</a:t>
                </a:r>
              </a:p>
            </c:rich>
          </c:tx>
          <c:overlay val="0"/>
        </c:title>
        <c:numFmt formatCode="General" sourceLinked="1"/>
        <c:majorTickMark val="out"/>
        <c:minorTickMark val="none"/>
        <c:tickLblPos val="nextTo"/>
        <c:crossAx val="46419968"/>
        <c:crosses val="autoZero"/>
        <c:crossBetween val="midCat"/>
        <c:majorUnit val="5"/>
        <c:minorUnit val="1"/>
      </c:valAx>
      <c:valAx>
        <c:axId val="46419968"/>
        <c:scaling>
          <c:orientation val="minMax"/>
          <c:max val="3150"/>
          <c:min val="1800"/>
        </c:scaling>
        <c:delete val="0"/>
        <c:axPos val="l"/>
        <c:majorGridlines/>
        <c:minorGridlines/>
        <c:title>
          <c:tx>
            <c:rich>
              <a:bodyPr rot="-5400000" vert="horz"/>
              <a:lstStyle/>
              <a:p>
                <a:pPr>
                  <a:defRPr/>
                </a:pPr>
                <a:r>
                  <a:rPr lang="en-US"/>
                  <a:t>LOADED AIRCRAFT WEIGHT (POUNDS)</a:t>
                </a:r>
              </a:p>
            </c:rich>
          </c:tx>
          <c:overlay val="0"/>
        </c:title>
        <c:numFmt formatCode="General" sourceLinked="1"/>
        <c:majorTickMark val="out"/>
        <c:minorTickMark val="none"/>
        <c:tickLblPos val="nextTo"/>
        <c:crossAx val="46405504"/>
        <c:crosses val="autoZero"/>
        <c:crossBetween val="midCat"/>
        <c:majorUnit val="100"/>
        <c:minorUnit val="20"/>
      </c:valAx>
    </c:plotArea>
    <c:legend>
      <c:legendPos val="r"/>
      <c:layout>
        <c:manualLayout>
          <c:xMode val="edge"/>
          <c:yMode val="edge"/>
          <c:x val="0.67988423322084734"/>
          <c:y val="0.55043011090208549"/>
          <c:w val="0.2226492782152231"/>
          <c:h val="0.23354532857230365"/>
        </c:manualLayout>
      </c:layout>
      <c:overlay val="1"/>
      <c:spPr>
        <a:solidFill>
          <a:schemeClr val="bg1"/>
        </a:solidFill>
      </c:spPr>
    </c:legend>
    <c:plotVisOnly val="1"/>
    <c:dispBlanksAs val="gap"/>
    <c:showDLblsOverMax val="0"/>
  </c:chart>
  <c:txPr>
    <a:bodyPr/>
    <a:lstStyle/>
    <a:p>
      <a:pPr>
        <a:defRPr sz="8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LOADING GRAPH</a:t>
            </a:r>
          </a:p>
        </c:rich>
      </c:tx>
      <c:layout>
        <c:manualLayout>
          <c:xMode val="edge"/>
          <c:yMode val="edge"/>
          <c:x val="0.17511154855643044"/>
          <c:y val="0.13492063492063491"/>
        </c:manualLayout>
      </c:layout>
      <c:overlay val="1"/>
      <c:spPr>
        <a:solidFill>
          <a:schemeClr val="bg1"/>
        </a:solidFill>
      </c:spPr>
    </c:title>
    <c:autoTitleDeleted val="0"/>
    <c:plotArea>
      <c:layout/>
      <c:scatterChart>
        <c:scatterStyle val="lineMarker"/>
        <c:varyColors val="0"/>
        <c:ser>
          <c:idx val="0"/>
          <c:order val="0"/>
          <c:tx>
            <c:v>Pilot &amp; Front Pax</c:v>
          </c:tx>
          <c:marker>
            <c:symbol val="none"/>
          </c:marker>
          <c:xVal>
            <c:numRef>
              <c:f>'Loading Graph Data'!$B$5:$B$6</c:f>
              <c:numCache>
                <c:formatCode>General</c:formatCode>
                <c:ptCount val="2"/>
                <c:pt idx="0">
                  <c:v>0</c:v>
                </c:pt>
                <c:pt idx="1">
                  <c:v>16.649999999999999</c:v>
                </c:pt>
              </c:numCache>
            </c:numRef>
          </c:xVal>
          <c:yVal>
            <c:numRef>
              <c:f>'Loading Graph Data'!$A$5:$A$6</c:f>
              <c:numCache>
                <c:formatCode>General</c:formatCode>
                <c:ptCount val="2"/>
                <c:pt idx="0">
                  <c:v>0</c:v>
                </c:pt>
                <c:pt idx="1">
                  <c:v>450</c:v>
                </c:pt>
              </c:numCache>
            </c:numRef>
          </c:yVal>
          <c:smooth val="0"/>
          <c:extLst>
            <c:ext xmlns:c16="http://schemas.microsoft.com/office/drawing/2014/chart" uri="{C3380CC4-5D6E-409C-BE32-E72D297353CC}">
              <c16:uniqueId val="{00000000-76CD-4D0C-9383-F10D2CF48E23}"/>
            </c:ext>
          </c:extLst>
        </c:ser>
        <c:ser>
          <c:idx val="1"/>
          <c:order val="1"/>
          <c:tx>
            <c:v>Fuel</c:v>
          </c:tx>
          <c:marker>
            <c:symbol val="none"/>
          </c:marker>
          <c:xVal>
            <c:numRef>
              <c:f>'Loading Graph Data'!$F$5:$F$6</c:f>
              <c:numCache>
                <c:formatCode>General</c:formatCode>
                <c:ptCount val="2"/>
                <c:pt idx="0">
                  <c:v>0</c:v>
                </c:pt>
                <c:pt idx="1">
                  <c:v>14.4</c:v>
                </c:pt>
              </c:numCache>
            </c:numRef>
          </c:xVal>
          <c:yVal>
            <c:numRef>
              <c:f>'Loading Graph Data'!$E$5:$E$6</c:f>
              <c:numCache>
                <c:formatCode>General</c:formatCode>
                <c:ptCount val="2"/>
                <c:pt idx="0">
                  <c:v>0</c:v>
                </c:pt>
                <c:pt idx="1">
                  <c:v>300</c:v>
                </c:pt>
              </c:numCache>
            </c:numRef>
          </c:yVal>
          <c:smooth val="0"/>
          <c:extLst>
            <c:ext xmlns:c16="http://schemas.microsoft.com/office/drawing/2014/chart" uri="{C3380CC4-5D6E-409C-BE32-E72D297353CC}">
              <c16:uniqueId val="{00000001-76CD-4D0C-9383-F10D2CF48E23}"/>
            </c:ext>
          </c:extLst>
        </c:ser>
        <c:ser>
          <c:idx val="2"/>
          <c:order val="2"/>
          <c:tx>
            <c:v>2nd Row Pax</c:v>
          </c:tx>
          <c:marker>
            <c:symbol val="none"/>
          </c:marker>
          <c:xVal>
            <c:numRef>
              <c:f>'Loading Graph Data'!$I$5:$I$6</c:f>
              <c:numCache>
                <c:formatCode>General</c:formatCode>
                <c:ptCount val="2"/>
                <c:pt idx="0">
                  <c:v>0</c:v>
                </c:pt>
                <c:pt idx="1">
                  <c:v>32.85</c:v>
                </c:pt>
              </c:numCache>
            </c:numRef>
          </c:xVal>
          <c:yVal>
            <c:numRef>
              <c:f>'Loading Graph Data'!$H$5:$H$6</c:f>
              <c:numCache>
                <c:formatCode>General</c:formatCode>
                <c:ptCount val="2"/>
                <c:pt idx="0">
                  <c:v>0</c:v>
                </c:pt>
                <c:pt idx="1">
                  <c:v>450</c:v>
                </c:pt>
              </c:numCache>
            </c:numRef>
          </c:yVal>
          <c:smooth val="0"/>
          <c:extLst>
            <c:ext xmlns:c16="http://schemas.microsoft.com/office/drawing/2014/chart" uri="{C3380CC4-5D6E-409C-BE32-E72D297353CC}">
              <c16:uniqueId val="{00000002-76CD-4D0C-9383-F10D2CF48E23}"/>
            </c:ext>
          </c:extLst>
        </c:ser>
        <c:ser>
          <c:idx val="3"/>
          <c:order val="3"/>
          <c:tx>
            <c:v>Baggage A</c:v>
          </c:tx>
          <c:marker>
            <c:symbol val="none"/>
          </c:marker>
          <c:xVal>
            <c:numRef>
              <c:f>'Loading Graph Data'!$L$5:$L$6</c:f>
              <c:numCache>
                <c:formatCode>0.00</c:formatCode>
                <c:ptCount val="2"/>
                <c:pt idx="0">
                  <c:v>0</c:v>
                </c:pt>
                <c:pt idx="1">
                  <c:v>11.4</c:v>
                </c:pt>
              </c:numCache>
            </c:numRef>
          </c:xVal>
          <c:yVal>
            <c:numRef>
              <c:f>'Loading Graph Data'!$K$5:$K$6</c:f>
              <c:numCache>
                <c:formatCode>General</c:formatCode>
                <c:ptCount val="2"/>
                <c:pt idx="0">
                  <c:v>0</c:v>
                </c:pt>
                <c:pt idx="1">
                  <c:v>120</c:v>
                </c:pt>
              </c:numCache>
            </c:numRef>
          </c:yVal>
          <c:smooth val="0"/>
          <c:extLst>
            <c:ext xmlns:c16="http://schemas.microsoft.com/office/drawing/2014/chart" uri="{C3380CC4-5D6E-409C-BE32-E72D297353CC}">
              <c16:uniqueId val="{00000003-76CD-4D0C-9383-F10D2CF48E23}"/>
            </c:ext>
          </c:extLst>
        </c:ser>
        <c:ser>
          <c:idx val="4"/>
          <c:order val="4"/>
          <c:tx>
            <c:v>Baggage B</c:v>
          </c:tx>
          <c:marker>
            <c:symbol val="none"/>
          </c:marker>
          <c:xVal>
            <c:numRef>
              <c:f>'Loading Graph Data'!$N$5:$N$6</c:f>
              <c:numCache>
                <c:formatCode>0.00</c:formatCode>
                <c:ptCount val="2"/>
                <c:pt idx="0">
                  <c:v>0</c:v>
                </c:pt>
                <c:pt idx="1">
                  <c:v>6.15</c:v>
                </c:pt>
              </c:numCache>
            </c:numRef>
          </c:xVal>
          <c:yVal>
            <c:numRef>
              <c:f>'Loading Graph Data'!$M$5:$M$6</c:f>
              <c:numCache>
                <c:formatCode>General</c:formatCode>
                <c:ptCount val="2"/>
                <c:pt idx="0">
                  <c:v>0</c:v>
                </c:pt>
                <c:pt idx="1">
                  <c:v>50</c:v>
                </c:pt>
              </c:numCache>
            </c:numRef>
          </c:yVal>
          <c:smooth val="0"/>
          <c:extLst>
            <c:ext xmlns:c16="http://schemas.microsoft.com/office/drawing/2014/chart" uri="{C3380CC4-5D6E-409C-BE32-E72D297353CC}">
              <c16:uniqueId val="{00000004-76CD-4D0C-9383-F10D2CF48E23}"/>
            </c:ext>
          </c:extLst>
        </c:ser>
        <c:dLbls>
          <c:showLegendKey val="0"/>
          <c:showVal val="0"/>
          <c:showCatName val="0"/>
          <c:showSerName val="0"/>
          <c:showPercent val="0"/>
          <c:showBubbleSize val="0"/>
        </c:dLbls>
        <c:axId val="46652800"/>
        <c:axId val="46654976"/>
      </c:scatterChart>
      <c:valAx>
        <c:axId val="46652800"/>
        <c:scaling>
          <c:orientation val="minMax"/>
        </c:scaling>
        <c:delete val="0"/>
        <c:axPos val="b"/>
        <c:majorGridlines/>
        <c:minorGridlines/>
        <c:title>
          <c:tx>
            <c:rich>
              <a:bodyPr/>
              <a:lstStyle/>
              <a:p>
                <a:pPr>
                  <a:defRPr sz="800"/>
                </a:pPr>
                <a:r>
                  <a:rPr lang="en-US" sz="800" b="1"/>
                  <a:t>LOAD MOMENT / 1000 (POUND-INCHES)</a:t>
                </a:r>
              </a:p>
            </c:rich>
          </c:tx>
          <c:overlay val="0"/>
        </c:title>
        <c:numFmt formatCode="General" sourceLinked="1"/>
        <c:majorTickMark val="none"/>
        <c:minorTickMark val="none"/>
        <c:tickLblPos val="nextTo"/>
        <c:crossAx val="46654976"/>
        <c:crosses val="autoZero"/>
        <c:crossBetween val="midCat"/>
      </c:valAx>
      <c:valAx>
        <c:axId val="46654976"/>
        <c:scaling>
          <c:orientation val="minMax"/>
        </c:scaling>
        <c:delete val="0"/>
        <c:axPos val="l"/>
        <c:majorGridlines/>
        <c:minorGridlines/>
        <c:title>
          <c:tx>
            <c:rich>
              <a:bodyPr rot="-5400000" vert="horz"/>
              <a:lstStyle/>
              <a:p>
                <a:pPr>
                  <a:defRPr sz="800"/>
                </a:pPr>
                <a:r>
                  <a:rPr lang="en-US" sz="800"/>
                  <a:t>LOAD WEIGHT (POUNDS)</a:t>
                </a:r>
              </a:p>
            </c:rich>
          </c:tx>
          <c:overlay val="0"/>
        </c:title>
        <c:numFmt formatCode="General" sourceLinked="1"/>
        <c:majorTickMark val="none"/>
        <c:minorTickMark val="none"/>
        <c:tickLblPos val="nextTo"/>
        <c:crossAx val="46652800"/>
        <c:crosses val="autoZero"/>
        <c:crossBetween val="midCat"/>
      </c:valAx>
    </c:plotArea>
    <c:legend>
      <c:legendPos val="r"/>
      <c:layout>
        <c:manualLayout>
          <c:xMode val="edge"/>
          <c:yMode val="edge"/>
          <c:x val="0.69714145106861647"/>
          <c:y val="0.5073465816772903"/>
          <c:w val="0.23142997750281216"/>
          <c:h val="0.28689382577177852"/>
        </c:manualLayout>
      </c:layout>
      <c:overlay val="1"/>
      <c:spPr>
        <a:solidFill>
          <a:schemeClr val="bg1"/>
        </a:solidFill>
      </c:spPr>
    </c:legend>
    <c:plotVisOnly val="1"/>
    <c:dispBlanksAs val="gap"/>
    <c:showDLblsOverMax val="0"/>
  </c:chart>
  <c:txPr>
    <a:bodyPr/>
    <a:lstStyle/>
    <a:p>
      <a:pPr>
        <a:defRPr sz="700"/>
      </a:pPr>
      <a:endParaRPr lang="en-US"/>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ctr" anchorCtr="1"/>
          <a:lstStyle/>
          <a:p>
            <a:pPr>
              <a:defRPr/>
            </a:pPr>
            <a:r>
              <a:rPr lang="en-US"/>
              <a:t>CENTER OF GRAVITY MOMENT ENVELOPE</a:t>
            </a:r>
          </a:p>
        </c:rich>
      </c:tx>
      <c:layout>
        <c:manualLayout>
          <c:xMode val="edge"/>
          <c:yMode val="edge"/>
          <c:x val="0.15546869141357331"/>
          <c:y val="7.8321666821332625E-2"/>
        </c:manualLayout>
      </c:layout>
      <c:overlay val="1"/>
      <c:spPr>
        <a:solidFill>
          <a:schemeClr val="bg1"/>
        </a:solidFill>
      </c:spPr>
    </c:title>
    <c:autoTitleDeleted val="0"/>
    <c:plotArea>
      <c:layout/>
      <c:scatterChart>
        <c:scatterStyle val="lineMarker"/>
        <c:varyColors val="0"/>
        <c:ser>
          <c:idx val="0"/>
          <c:order val="0"/>
          <c:tx>
            <c:v>Normal</c:v>
          </c:tx>
          <c:marker>
            <c:symbol val="none"/>
          </c:marker>
          <c:xVal>
            <c:numRef>
              <c:f>'Moment Envelope Data'!$G$3:$G$8</c:f>
              <c:numCache>
                <c:formatCode>General</c:formatCode>
                <c:ptCount val="6"/>
                <c:pt idx="0">
                  <c:v>52.5</c:v>
                </c:pt>
                <c:pt idx="1">
                  <c:v>68.25</c:v>
                </c:pt>
                <c:pt idx="2">
                  <c:v>82.5</c:v>
                </c:pt>
                <c:pt idx="3">
                  <c:v>104.55</c:v>
                </c:pt>
                <c:pt idx="4">
                  <c:v>120.61499999999999</c:v>
                </c:pt>
                <c:pt idx="5">
                  <c:v>70.95</c:v>
                </c:pt>
              </c:numCache>
            </c:numRef>
          </c:xVal>
          <c:yVal>
            <c:numRef>
              <c:f>'Moment Envelope Data'!$A$3:$A$8</c:f>
              <c:numCache>
                <c:formatCode>General</c:formatCode>
                <c:ptCount val="6"/>
                <c:pt idx="0">
                  <c:v>1500</c:v>
                </c:pt>
                <c:pt idx="1">
                  <c:v>1950</c:v>
                </c:pt>
                <c:pt idx="2">
                  <c:v>2200</c:v>
                </c:pt>
                <c:pt idx="3">
                  <c:v>2550</c:v>
                </c:pt>
                <c:pt idx="4">
                  <c:v>2550</c:v>
                </c:pt>
                <c:pt idx="5">
                  <c:v>1500</c:v>
                </c:pt>
              </c:numCache>
            </c:numRef>
          </c:yVal>
          <c:smooth val="0"/>
          <c:extLst>
            <c:ext xmlns:c16="http://schemas.microsoft.com/office/drawing/2014/chart" uri="{C3380CC4-5D6E-409C-BE32-E72D297353CC}">
              <c16:uniqueId val="{00000000-444F-4145-9D08-EF5FC0A5612F}"/>
            </c:ext>
          </c:extLst>
        </c:ser>
        <c:ser>
          <c:idx val="1"/>
          <c:order val="1"/>
          <c:tx>
            <c:v>Utility</c:v>
          </c:tx>
          <c:marker>
            <c:symbol val="none"/>
          </c:marker>
          <c:xVal>
            <c:numRef>
              <c:f>'Moment Envelope Data'!$H$3:$H$8</c:f>
              <c:numCache>
                <c:formatCode>General</c:formatCode>
                <c:ptCount val="6"/>
                <c:pt idx="0">
                  <c:v>52.5</c:v>
                </c:pt>
                <c:pt idx="1">
                  <c:v>68.25</c:v>
                </c:pt>
                <c:pt idx="2">
                  <c:v>82.5</c:v>
                </c:pt>
                <c:pt idx="3">
                  <c:v>82.5</c:v>
                </c:pt>
                <c:pt idx="4">
                  <c:v>89.1</c:v>
                </c:pt>
                <c:pt idx="5">
                  <c:v>60.75</c:v>
                </c:pt>
              </c:numCache>
            </c:numRef>
          </c:xVal>
          <c:yVal>
            <c:numRef>
              <c:f>'Moment Envelope Data'!$C$3:$C$8</c:f>
              <c:numCache>
                <c:formatCode>General</c:formatCode>
                <c:ptCount val="6"/>
                <c:pt idx="0">
                  <c:v>1500</c:v>
                </c:pt>
                <c:pt idx="1">
                  <c:v>1950</c:v>
                </c:pt>
                <c:pt idx="2">
                  <c:v>2200</c:v>
                </c:pt>
                <c:pt idx="3">
                  <c:v>2200</c:v>
                </c:pt>
                <c:pt idx="4">
                  <c:v>2200</c:v>
                </c:pt>
                <c:pt idx="5">
                  <c:v>1500</c:v>
                </c:pt>
              </c:numCache>
            </c:numRef>
          </c:yVal>
          <c:smooth val="0"/>
          <c:extLst>
            <c:ext xmlns:c16="http://schemas.microsoft.com/office/drawing/2014/chart" uri="{C3380CC4-5D6E-409C-BE32-E72D297353CC}">
              <c16:uniqueId val="{00000001-444F-4145-9D08-EF5FC0A5612F}"/>
            </c:ext>
          </c:extLst>
        </c:ser>
        <c:ser>
          <c:idx val="2"/>
          <c:order val="2"/>
          <c:tx>
            <c:v>W&amp;B Trend</c:v>
          </c:tx>
          <c:marker>
            <c:symbol val="none"/>
          </c:marker>
          <c:xVal>
            <c:strRef>
              <c:f>'N99871'!$B$28:$B$30</c:f>
              <c:strCache>
                <c:ptCount val="1"/>
                <c:pt idx="0">
                  <c:v>#VALUE!</c:v>
                </c:pt>
              </c:strCache>
            </c:strRef>
          </c:xVal>
          <c:yVal>
            <c:numRef>
              <c:f>'N99871'!$C$28:$C$30</c:f>
              <c:numCache>
                <c:formatCode>0.0</c:formatCode>
                <c:ptCount val="3"/>
                <c:pt idx="0">
                  <c:v>0</c:v>
                </c:pt>
                <c:pt idx="1">
                  <c:v>0</c:v>
                </c:pt>
                <c:pt idx="2">
                  <c:v>0</c:v>
                </c:pt>
              </c:numCache>
            </c:numRef>
          </c:yVal>
          <c:smooth val="0"/>
          <c:extLst>
            <c:ext xmlns:c16="http://schemas.microsoft.com/office/drawing/2014/chart" uri="{C3380CC4-5D6E-409C-BE32-E72D297353CC}">
              <c16:uniqueId val="{00000002-444F-4145-9D08-EF5FC0A5612F}"/>
            </c:ext>
          </c:extLst>
        </c:ser>
        <c:dLbls>
          <c:showLegendKey val="0"/>
          <c:showVal val="0"/>
          <c:showCatName val="0"/>
          <c:showSerName val="0"/>
          <c:showPercent val="0"/>
          <c:showBubbleSize val="0"/>
        </c:dLbls>
        <c:axId val="46827008"/>
        <c:axId val="46828928"/>
      </c:scatterChart>
      <c:valAx>
        <c:axId val="46827008"/>
        <c:scaling>
          <c:orientation val="minMax"/>
          <c:max val="125"/>
          <c:min val="50"/>
        </c:scaling>
        <c:delete val="0"/>
        <c:axPos val="b"/>
        <c:majorGridlines/>
        <c:minorGridlines/>
        <c:title>
          <c:tx>
            <c:rich>
              <a:bodyPr/>
              <a:lstStyle/>
              <a:p>
                <a:pPr>
                  <a:defRPr/>
                </a:pPr>
                <a:r>
                  <a:rPr lang="en-US"/>
                  <a:t>LOADED AIRCRAFT MOMENT / 1000  (POUND-INCHES)</a:t>
                </a:r>
              </a:p>
            </c:rich>
          </c:tx>
          <c:overlay val="0"/>
        </c:title>
        <c:numFmt formatCode="General" sourceLinked="1"/>
        <c:majorTickMark val="out"/>
        <c:minorTickMark val="none"/>
        <c:tickLblPos val="nextTo"/>
        <c:crossAx val="46828928"/>
        <c:crosses val="autoZero"/>
        <c:crossBetween val="midCat"/>
        <c:majorUnit val="5"/>
        <c:minorUnit val="1"/>
      </c:valAx>
      <c:valAx>
        <c:axId val="46828928"/>
        <c:scaling>
          <c:orientation val="minMax"/>
          <c:max val="2600"/>
          <c:min val="1500"/>
        </c:scaling>
        <c:delete val="0"/>
        <c:axPos val="l"/>
        <c:majorGridlines/>
        <c:minorGridlines/>
        <c:title>
          <c:tx>
            <c:rich>
              <a:bodyPr rot="-5400000" vert="horz"/>
              <a:lstStyle/>
              <a:p>
                <a:pPr>
                  <a:defRPr/>
                </a:pPr>
                <a:r>
                  <a:rPr lang="en-US"/>
                  <a:t>LOADED AIRCRAFT WEIGHT (POUNDS)</a:t>
                </a:r>
              </a:p>
            </c:rich>
          </c:tx>
          <c:overlay val="0"/>
        </c:title>
        <c:numFmt formatCode="General" sourceLinked="1"/>
        <c:majorTickMark val="out"/>
        <c:minorTickMark val="none"/>
        <c:tickLblPos val="nextTo"/>
        <c:crossAx val="46827008"/>
        <c:crosses val="autoZero"/>
        <c:crossBetween val="midCat"/>
        <c:majorUnit val="100"/>
        <c:minorUnit val="20"/>
      </c:valAx>
    </c:plotArea>
    <c:legend>
      <c:legendPos val="r"/>
      <c:layout>
        <c:manualLayout>
          <c:xMode val="edge"/>
          <c:yMode val="edge"/>
          <c:x val="0.66797956465291941"/>
          <c:y val="0.58920124233963"/>
          <c:w val="0.20181594488188975"/>
          <c:h val="0.17529869129105352"/>
        </c:manualLayout>
      </c:layout>
      <c:overlay val="1"/>
      <c:spPr>
        <a:solidFill>
          <a:schemeClr val="bg1"/>
        </a:solidFill>
      </c:spPr>
    </c:legend>
    <c:plotVisOnly val="1"/>
    <c:dispBlanksAs val="gap"/>
    <c:showDLblsOverMax val="0"/>
  </c:chart>
  <c:txPr>
    <a:bodyPr/>
    <a:lstStyle/>
    <a:p>
      <a:pPr>
        <a:defRPr sz="8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LOADING GRAPH</a:t>
            </a:r>
          </a:p>
        </c:rich>
      </c:tx>
      <c:layout>
        <c:manualLayout>
          <c:xMode val="edge"/>
          <c:yMode val="edge"/>
          <c:x val="0.41023059617547808"/>
          <c:y val="0.74173163339102732"/>
        </c:manualLayout>
      </c:layout>
      <c:overlay val="1"/>
      <c:spPr>
        <a:solidFill>
          <a:schemeClr val="bg1"/>
        </a:solidFill>
      </c:spPr>
    </c:title>
    <c:autoTitleDeleted val="0"/>
    <c:plotArea>
      <c:layout/>
      <c:scatterChart>
        <c:scatterStyle val="lineMarker"/>
        <c:varyColors val="0"/>
        <c:ser>
          <c:idx val="0"/>
          <c:order val="0"/>
          <c:tx>
            <c:v>Pilot &amp; Front Pax</c:v>
          </c:tx>
          <c:marker>
            <c:symbol val="none"/>
          </c:marker>
          <c:xVal>
            <c:numRef>
              <c:f>'Loading Graph Data'!$B$19:$B$20</c:f>
              <c:numCache>
                <c:formatCode>General</c:formatCode>
                <c:ptCount val="2"/>
                <c:pt idx="0">
                  <c:v>0</c:v>
                </c:pt>
                <c:pt idx="1">
                  <c:v>20.9</c:v>
                </c:pt>
              </c:numCache>
            </c:numRef>
          </c:xVal>
          <c:yVal>
            <c:numRef>
              <c:f>'Loading Graph Data'!$A$19:$A$20</c:f>
              <c:numCache>
                <c:formatCode>General</c:formatCode>
                <c:ptCount val="2"/>
                <c:pt idx="0">
                  <c:v>0</c:v>
                </c:pt>
                <c:pt idx="1">
                  <c:v>550</c:v>
                </c:pt>
              </c:numCache>
            </c:numRef>
          </c:yVal>
          <c:smooth val="0"/>
          <c:extLst>
            <c:ext xmlns:c16="http://schemas.microsoft.com/office/drawing/2014/chart" uri="{C3380CC4-5D6E-409C-BE32-E72D297353CC}">
              <c16:uniqueId val="{00000000-E899-456D-BB91-AEDD91AA927D}"/>
            </c:ext>
          </c:extLst>
        </c:ser>
        <c:ser>
          <c:idx val="1"/>
          <c:order val="1"/>
          <c:tx>
            <c:v>Fuel</c:v>
          </c:tx>
          <c:marker>
            <c:symbol val="none"/>
          </c:marker>
          <c:xVal>
            <c:numRef>
              <c:f>'Loading Graph Data'!$F$19:$F$20</c:f>
              <c:numCache>
                <c:formatCode>General</c:formatCode>
                <c:ptCount val="2"/>
                <c:pt idx="0">
                  <c:v>0</c:v>
                </c:pt>
                <c:pt idx="1">
                  <c:v>35.64</c:v>
                </c:pt>
              </c:numCache>
            </c:numRef>
          </c:xVal>
          <c:yVal>
            <c:numRef>
              <c:f>'Loading Graph Data'!$E$19:$E$20</c:f>
              <c:numCache>
                <c:formatCode>General</c:formatCode>
                <c:ptCount val="2"/>
                <c:pt idx="0">
                  <c:v>0</c:v>
                </c:pt>
                <c:pt idx="1">
                  <c:v>528</c:v>
                </c:pt>
              </c:numCache>
            </c:numRef>
          </c:yVal>
          <c:smooth val="0"/>
          <c:extLst>
            <c:ext xmlns:c16="http://schemas.microsoft.com/office/drawing/2014/chart" uri="{C3380CC4-5D6E-409C-BE32-E72D297353CC}">
              <c16:uniqueId val="{00000001-E899-456D-BB91-AEDD91AA927D}"/>
            </c:ext>
          </c:extLst>
        </c:ser>
        <c:ser>
          <c:idx val="2"/>
          <c:order val="2"/>
          <c:tx>
            <c:v>2nd Row Pax</c:v>
          </c:tx>
          <c:marker>
            <c:symbol val="none"/>
          </c:marker>
          <c:xVal>
            <c:numRef>
              <c:f>'Loading Graph Data'!$I$19:$I$20</c:f>
              <c:numCache>
                <c:formatCode>General</c:formatCode>
                <c:ptCount val="2"/>
                <c:pt idx="0">
                  <c:v>0</c:v>
                </c:pt>
                <c:pt idx="1">
                  <c:v>38.39</c:v>
                </c:pt>
              </c:numCache>
            </c:numRef>
          </c:xVal>
          <c:yVal>
            <c:numRef>
              <c:f>'Loading Graph Data'!$H$19:$H$20</c:f>
              <c:numCache>
                <c:formatCode>General</c:formatCode>
                <c:ptCount val="2"/>
                <c:pt idx="0">
                  <c:v>0</c:v>
                </c:pt>
                <c:pt idx="1">
                  <c:v>550</c:v>
                </c:pt>
              </c:numCache>
            </c:numRef>
          </c:yVal>
          <c:smooth val="0"/>
          <c:extLst>
            <c:ext xmlns:c16="http://schemas.microsoft.com/office/drawing/2014/chart" uri="{C3380CC4-5D6E-409C-BE32-E72D297353CC}">
              <c16:uniqueId val="{00000002-E899-456D-BB91-AEDD91AA927D}"/>
            </c:ext>
          </c:extLst>
        </c:ser>
        <c:ser>
          <c:idx val="5"/>
          <c:order val="3"/>
          <c:tx>
            <c:v>3rd Row Pax</c:v>
          </c:tx>
          <c:marker>
            <c:symbol val="none"/>
          </c:marker>
          <c:xVal>
            <c:numRef>
              <c:f>'Loading Graph Data'!$Q$19:$Q$20</c:f>
              <c:numCache>
                <c:formatCode>0.00</c:formatCode>
                <c:ptCount val="2"/>
                <c:pt idx="0" formatCode="General">
                  <c:v>0</c:v>
                </c:pt>
                <c:pt idx="1">
                  <c:v>54.615000000000002</c:v>
                </c:pt>
              </c:numCache>
            </c:numRef>
          </c:xVal>
          <c:yVal>
            <c:numRef>
              <c:f>'Loading Graph Data'!$P$19:$P$20</c:f>
              <c:numCache>
                <c:formatCode>General</c:formatCode>
                <c:ptCount val="2"/>
                <c:pt idx="0">
                  <c:v>0</c:v>
                </c:pt>
                <c:pt idx="1">
                  <c:v>550</c:v>
                </c:pt>
              </c:numCache>
            </c:numRef>
          </c:yVal>
          <c:smooth val="0"/>
          <c:extLst>
            <c:ext xmlns:c16="http://schemas.microsoft.com/office/drawing/2014/chart" uri="{C3380CC4-5D6E-409C-BE32-E72D297353CC}">
              <c16:uniqueId val="{00000003-E899-456D-BB91-AEDD91AA927D}"/>
            </c:ext>
          </c:extLst>
        </c:ser>
        <c:ser>
          <c:idx val="6"/>
          <c:order val="4"/>
          <c:tx>
            <c:v>4th Row Pax</c:v>
          </c:tx>
          <c:marker>
            <c:symbol val="none"/>
          </c:marker>
          <c:xVal>
            <c:numRef>
              <c:f>'Loading Graph Data'!$S$19:$S$20</c:f>
              <c:numCache>
                <c:formatCode>0.00</c:formatCode>
                <c:ptCount val="2"/>
                <c:pt idx="0" formatCode="General">
                  <c:v>0</c:v>
                </c:pt>
                <c:pt idx="1">
                  <c:v>70.290000000000006</c:v>
                </c:pt>
              </c:numCache>
            </c:numRef>
          </c:xVal>
          <c:yVal>
            <c:numRef>
              <c:f>'Loading Graph Data'!$R$19:$R$20</c:f>
              <c:numCache>
                <c:formatCode>General</c:formatCode>
                <c:ptCount val="2"/>
                <c:pt idx="0">
                  <c:v>0</c:v>
                </c:pt>
                <c:pt idx="1">
                  <c:v>550</c:v>
                </c:pt>
              </c:numCache>
            </c:numRef>
          </c:yVal>
          <c:smooth val="0"/>
          <c:extLst>
            <c:ext xmlns:c16="http://schemas.microsoft.com/office/drawing/2014/chart" uri="{C3380CC4-5D6E-409C-BE32-E72D297353CC}">
              <c16:uniqueId val="{00000004-E899-456D-BB91-AEDD91AA927D}"/>
            </c:ext>
          </c:extLst>
        </c:ser>
        <c:ser>
          <c:idx val="3"/>
          <c:order val="5"/>
          <c:tx>
            <c:v>Baggage A</c:v>
          </c:tx>
          <c:marker>
            <c:symbol val="none"/>
          </c:marker>
          <c:xVal>
            <c:numRef>
              <c:f>'Loading Graph Data'!$L$19:$L$20</c:f>
              <c:numCache>
                <c:formatCode>0.00</c:formatCode>
                <c:ptCount val="2"/>
                <c:pt idx="0">
                  <c:v>0</c:v>
                </c:pt>
                <c:pt idx="1">
                  <c:v>37</c:v>
                </c:pt>
              </c:numCache>
            </c:numRef>
          </c:xVal>
          <c:yVal>
            <c:numRef>
              <c:f>'Loading Graph Data'!$K$19:$K$20</c:f>
              <c:numCache>
                <c:formatCode>General</c:formatCode>
                <c:ptCount val="2"/>
                <c:pt idx="0">
                  <c:v>0</c:v>
                </c:pt>
                <c:pt idx="1">
                  <c:v>250</c:v>
                </c:pt>
              </c:numCache>
            </c:numRef>
          </c:yVal>
          <c:smooth val="0"/>
          <c:extLst>
            <c:ext xmlns:c16="http://schemas.microsoft.com/office/drawing/2014/chart" uri="{C3380CC4-5D6E-409C-BE32-E72D297353CC}">
              <c16:uniqueId val="{00000005-E899-456D-BB91-AEDD91AA927D}"/>
            </c:ext>
          </c:extLst>
        </c:ser>
        <c:ser>
          <c:idx val="4"/>
          <c:order val="6"/>
          <c:tx>
            <c:v>Baggage B</c:v>
          </c:tx>
          <c:marker>
            <c:symbol val="none"/>
          </c:marker>
          <c:xVal>
            <c:numRef>
              <c:f>'Loading Graph Data'!$N$19:$N$20</c:f>
              <c:numCache>
                <c:formatCode>0.00</c:formatCode>
                <c:ptCount val="2"/>
                <c:pt idx="0">
                  <c:v>0</c:v>
                </c:pt>
                <c:pt idx="1">
                  <c:v>9.1</c:v>
                </c:pt>
              </c:numCache>
            </c:numRef>
          </c:xVal>
          <c:yVal>
            <c:numRef>
              <c:f>'Loading Graph Data'!$M$19:$M$20</c:f>
              <c:numCache>
                <c:formatCode>General</c:formatCode>
                <c:ptCount val="2"/>
                <c:pt idx="0">
                  <c:v>0</c:v>
                </c:pt>
                <c:pt idx="1">
                  <c:v>50</c:v>
                </c:pt>
              </c:numCache>
            </c:numRef>
          </c:yVal>
          <c:smooth val="0"/>
          <c:extLst>
            <c:ext xmlns:c16="http://schemas.microsoft.com/office/drawing/2014/chart" uri="{C3380CC4-5D6E-409C-BE32-E72D297353CC}">
              <c16:uniqueId val="{00000006-E899-456D-BB91-AEDD91AA927D}"/>
            </c:ext>
          </c:extLst>
        </c:ser>
        <c:dLbls>
          <c:showLegendKey val="0"/>
          <c:showVal val="0"/>
          <c:showCatName val="0"/>
          <c:showSerName val="0"/>
          <c:showPercent val="0"/>
          <c:showBubbleSize val="0"/>
        </c:dLbls>
        <c:axId val="45232512"/>
        <c:axId val="45234432"/>
      </c:scatterChart>
      <c:valAx>
        <c:axId val="45232512"/>
        <c:scaling>
          <c:orientation val="minMax"/>
        </c:scaling>
        <c:delete val="0"/>
        <c:axPos val="b"/>
        <c:majorGridlines/>
        <c:minorGridlines/>
        <c:title>
          <c:tx>
            <c:rich>
              <a:bodyPr/>
              <a:lstStyle/>
              <a:p>
                <a:pPr>
                  <a:defRPr sz="800"/>
                </a:pPr>
                <a:r>
                  <a:rPr lang="en-US" sz="800" b="1"/>
                  <a:t>LOAD MOMENT / 1000 (POUND-INCHES)</a:t>
                </a:r>
              </a:p>
            </c:rich>
          </c:tx>
          <c:overlay val="0"/>
        </c:title>
        <c:numFmt formatCode="General" sourceLinked="1"/>
        <c:majorTickMark val="none"/>
        <c:minorTickMark val="none"/>
        <c:tickLblPos val="nextTo"/>
        <c:crossAx val="45234432"/>
        <c:crosses val="autoZero"/>
        <c:crossBetween val="midCat"/>
        <c:minorUnit val="1"/>
      </c:valAx>
      <c:valAx>
        <c:axId val="45234432"/>
        <c:scaling>
          <c:orientation val="minMax"/>
        </c:scaling>
        <c:delete val="0"/>
        <c:axPos val="l"/>
        <c:majorGridlines/>
        <c:minorGridlines/>
        <c:title>
          <c:tx>
            <c:rich>
              <a:bodyPr rot="-5400000" vert="horz"/>
              <a:lstStyle/>
              <a:p>
                <a:pPr>
                  <a:defRPr sz="800"/>
                </a:pPr>
                <a:r>
                  <a:rPr lang="en-US" sz="800"/>
                  <a:t>LOAD WEIGHT (POUNDS)</a:t>
                </a:r>
              </a:p>
            </c:rich>
          </c:tx>
          <c:overlay val="0"/>
        </c:title>
        <c:numFmt formatCode="General" sourceLinked="1"/>
        <c:majorTickMark val="none"/>
        <c:minorTickMark val="none"/>
        <c:tickLblPos val="nextTo"/>
        <c:crossAx val="45232512"/>
        <c:crosses val="autoZero"/>
        <c:crossBetween val="midCat"/>
      </c:valAx>
    </c:plotArea>
    <c:legend>
      <c:legendPos val="r"/>
      <c:layout>
        <c:manualLayout>
          <c:xMode val="edge"/>
          <c:yMode val="edge"/>
          <c:x val="0.7030938320209974"/>
          <c:y val="0.29682032779958234"/>
          <c:w val="0.23142997750281216"/>
          <c:h val="0.41781689053574184"/>
        </c:manualLayout>
      </c:layout>
      <c:overlay val="1"/>
      <c:spPr>
        <a:solidFill>
          <a:schemeClr val="bg1"/>
        </a:solidFill>
      </c:spPr>
    </c:legend>
    <c:plotVisOnly val="1"/>
    <c:dispBlanksAs val="gap"/>
    <c:showDLblsOverMax val="0"/>
  </c:chart>
  <c:txPr>
    <a:bodyPr/>
    <a:lstStyle/>
    <a:p>
      <a:pPr>
        <a:defRPr sz="700"/>
      </a:pPr>
      <a:endParaRPr lang="en-US"/>
    </a:p>
  </c:txPr>
  <c:printSettings>
    <c:headerFooter/>
    <c:pageMargins b="0.75" l="0.7" r="0.7" t="0.75" header="0.3" footer="0.3"/>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ctr" anchorCtr="1"/>
          <a:lstStyle/>
          <a:p>
            <a:pPr>
              <a:defRPr/>
            </a:pPr>
            <a:r>
              <a:rPr lang="en-US"/>
              <a:t>CENTER OF GRAVITY MOMENT ENVELOPE</a:t>
            </a:r>
          </a:p>
        </c:rich>
      </c:tx>
      <c:layout>
        <c:manualLayout>
          <c:xMode val="edge"/>
          <c:yMode val="edge"/>
          <c:x val="0.15546869141357331"/>
          <c:y val="5.8913674821308389E-2"/>
        </c:manualLayout>
      </c:layout>
      <c:overlay val="1"/>
      <c:spPr>
        <a:solidFill>
          <a:schemeClr val="bg1"/>
        </a:solidFill>
      </c:spPr>
    </c:title>
    <c:autoTitleDeleted val="0"/>
    <c:plotArea>
      <c:layout/>
      <c:scatterChart>
        <c:scatterStyle val="lineMarker"/>
        <c:varyColors val="0"/>
        <c:ser>
          <c:idx val="0"/>
          <c:order val="0"/>
          <c:tx>
            <c:v>Normal</c:v>
          </c:tx>
          <c:marker>
            <c:symbol val="none"/>
          </c:marker>
          <c:xVal>
            <c:numRef>
              <c:f>'Moment Envelope Data'!$G$41:$G$45</c:f>
              <c:numCache>
                <c:formatCode>General</c:formatCode>
                <c:ptCount val="5"/>
                <c:pt idx="0">
                  <c:v>105.6</c:v>
                </c:pt>
                <c:pt idx="1">
                  <c:v>115.2</c:v>
                </c:pt>
                <c:pt idx="2">
                  <c:v>224</c:v>
                </c:pt>
                <c:pt idx="3">
                  <c:v>256</c:v>
                </c:pt>
                <c:pt idx="4">
                  <c:v>140.80000000000001</c:v>
                </c:pt>
              </c:numCache>
            </c:numRef>
          </c:xVal>
          <c:yVal>
            <c:numRef>
              <c:f>'Moment Envelope Data'!$A$41:$A$45</c:f>
              <c:numCache>
                <c:formatCode>General</c:formatCode>
                <c:ptCount val="5"/>
                <c:pt idx="0">
                  <c:v>2200</c:v>
                </c:pt>
                <c:pt idx="1">
                  <c:v>2400</c:v>
                </c:pt>
                <c:pt idx="2">
                  <c:v>4000</c:v>
                </c:pt>
                <c:pt idx="3">
                  <c:v>4000</c:v>
                </c:pt>
                <c:pt idx="4">
                  <c:v>2200</c:v>
                </c:pt>
              </c:numCache>
            </c:numRef>
          </c:yVal>
          <c:smooth val="0"/>
          <c:extLst>
            <c:ext xmlns:c16="http://schemas.microsoft.com/office/drawing/2014/chart" uri="{C3380CC4-5D6E-409C-BE32-E72D297353CC}">
              <c16:uniqueId val="{00000000-AD75-47DD-8FD4-85EBD186A284}"/>
            </c:ext>
          </c:extLst>
        </c:ser>
        <c:ser>
          <c:idx val="2"/>
          <c:order val="1"/>
          <c:tx>
            <c:v>W&amp;B Trend</c:v>
          </c:tx>
          <c:marker>
            <c:symbol val="none"/>
          </c:marker>
          <c:xVal>
            <c:strRef>
              <c:f>N470CP!$B$30:$B$32</c:f>
              <c:strCache>
                <c:ptCount val="1"/>
                <c:pt idx="0">
                  <c:v>#VALUE!</c:v>
                </c:pt>
              </c:strCache>
            </c:strRef>
          </c:xVal>
          <c:yVal>
            <c:numRef>
              <c:f>N470CP!$C$30:$C$32</c:f>
              <c:numCache>
                <c:formatCode>0.0</c:formatCode>
                <c:ptCount val="3"/>
                <c:pt idx="0">
                  <c:v>0</c:v>
                </c:pt>
                <c:pt idx="1">
                  <c:v>0</c:v>
                </c:pt>
                <c:pt idx="2">
                  <c:v>0</c:v>
                </c:pt>
              </c:numCache>
            </c:numRef>
          </c:yVal>
          <c:smooth val="0"/>
          <c:extLst>
            <c:ext xmlns:c16="http://schemas.microsoft.com/office/drawing/2014/chart" uri="{C3380CC4-5D6E-409C-BE32-E72D297353CC}">
              <c16:uniqueId val="{00000001-AD75-47DD-8FD4-85EBD186A284}"/>
            </c:ext>
          </c:extLst>
        </c:ser>
        <c:dLbls>
          <c:showLegendKey val="0"/>
          <c:showVal val="0"/>
          <c:showCatName val="0"/>
          <c:showSerName val="0"/>
          <c:showPercent val="0"/>
          <c:showBubbleSize val="0"/>
        </c:dLbls>
        <c:axId val="45300352"/>
        <c:axId val="45302528"/>
      </c:scatterChart>
      <c:valAx>
        <c:axId val="45300352"/>
        <c:scaling>
          <c:orientation val="minMax"/>
          <c:max val="270"/>
          <c:min val="90"/>
        </c:scaling>
        <c:delete val="0"/>
        <c:axPos val="b"/>
        <c:majorGridlines/>
        <c:minorGridlines/>
        <c:title>
          <c:tx>
            <c:rich>
              <a:bodyPr/>
              <a:lstStyle/>
              <a:p>
                <a:pPr>
                  <a:defRPr/>
                </a:pPr>
                <a:r>
                  <a:rPr lang="en-US"/>
                  <a:t>LOADED AIRCRAFT MOMENT / 1000  (POUND-INCHES)</a:t>
                </a:r>
              </a:p>
            </c:rich>
          </c:tx>
          <c:overlay val="0"/>
        </c:title>
        <c:numFmt formatCode="General" sourceLinked="1"/>
        <c:majorTickMark val="out"/>
        <c:minorTickMark val="none"/>
        <c:tickLblPos val="nextTo"/>
        <c:crossAx val="45302528"/>
        <c:crosses val="autoZero"/>
        <c:crossBetween val="midCat"/>
        <c:majorUnit val="10"/>
        <c:minorUnit val="2"/>
      </c:valAx>
      <c:valAx>
        <c:axId val="45302528"/>
        <c:scaling>
          <c:orientation val="minMax"/>
          <c:max val="4200"/>
          <c:min val="2200"/>
        </c:scaling>
        <c:delete val="0"/>
        <c:axPos val="l"/>
        <c:majorGridlines/>
        <c:minorGridlines/>
        <c:title>
          <c:tx>
            <c:rich>
              <a:bodyPr rot="-5400000" vert="horz"/>
              <a:lstStyle/>
              <a:p>
                <a:pPr>
                  <a:defRPr/>
                </a:pPr>
                <a:r>
                  <a:rPr lang="en-US"/>
                  <a:t>LOADED AIRCRAFT WEIGHT (POUNDS)</a:t>
                </a:r>
              </a:p>
            </c:rich>
          </c:tx>
          <c:overlay val="0"/>
        </c:title>
        <c:numFmt formatCode="General" sourceLinked="1"/>
        <c:majorTickMark val="out"/>
        <c:minorTickMark val="none"/>
        <c:tickLblPos val="nextTo"/>
        <c:crossAx val="45300352"/>
        <c:crosses val="autoZero"/>
        <c:crossBetween val="midCat"/>
        <c:majorUnit val="200"/>
        <c:minorUnit val="50"/>
      </c:valAx>
    </c:plotArea>
    <c:legend>
      <c:legendPos val="r"/>
      <c:layout>
        <c:manualLayout>
          <c:xMode val="edge"/>
          <c:yMode val="edge"/>
          <c:x val="0.66797956465291941"/>
          <c:y val="0.58920124233963"/>
          <c:w val="0.20181594488188975"/>
          <c:h val="0.17529869129105352"/>
        </c:manualLayout>
      </c:layout>
      <c:overlay val="1"/>
      <c:spPr>
        <a:solidFill>
          <a:schemeClr val="bg1"/>
        </a:solidFill>
      </c:spPr>
    </c:legend>
    <c:plotVisOnly val="1"/>
    <c:dispBlanksAs val="gap"/>
    <c:showDLblsOverMax val="0"/>
  </c:chart>
  <c:txPr>
    <a:bodyPr/>
    <a:lstStyle/>
    <a:p>
      <a:pPr>
        <a:defRPr sz="800"/>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LOADING GRAPH</a:t>
            </a:r>
          </a:p>
        </c:rich>
      </c:tx>
      <c:layout>
        <c:manualLayout>
          <c:xMode val="edge"/>
          <c:yMode val="edge"/>
          <c:x val="0.17511154855643044"/>
          <c:y val="0.13492063492063491"/>
        </c:manualLayout>
      </c:layout>
      <c:overlay val="1"/>
      <c:spPr>
        <a:solidFill>
          <a:schemeClr val="bg1"/>
        </a:solidFill>
      </c:spPr>
    </c:title>
    <c:autoTitleDeleted val="0"/>
    <c:plotArea>
      <c:layout/>
      <c:scatterChart>
        <c:scatterStyle val="lineMarker"/>
        <c:varyColors val="0"/>
        <c:ser>
          <c:idx val="0"/>
          <c:order val="0"/>
          <c:tx>
            <c:v>Pilot &amp; Front Pax</c:v>
          </c:tx>
          <c:marker>
            <c:symbol val="none"/>
          </c:marker>
          <c:xVal>
            <c:numRef>
              <c:f>'Loading Graph Data'!$B$5:$B$6</c:f>
              <c:numCache>
                <c:formatCode>General</c:formatCode>
                <c:ptCount val="2"/>
                <c:pt idx="0">
                  <c:v>0</c:v>
                </c:pt>
                <c:pt idx="1">
                  <c:v>16.649999999999999</c:v>
                </c:pt>
              </c:numCache>
            </c:numRef>
          </c:xVal>
          <c:yVal>
            <c:numRef>
              <c:f>'Loading Graph Data'!$A$5:$A$6</c:f>
              <c:numCache>
                <c:formatCode>General</c:formatCode>
                <c:ptCount val="2"/>
                <c:pt idx="0">
                  <c:v>0</c:v>
                </c:pt>
                <c:pt idx="1">
                  <c:v>450</c:v>
                </c:pt>
              </c:numCache>
            </c:numRef>
          </c:yVal>
          <c:smooth val="0"/>
          <c:extLst>
            <c:ext xmlns:c16="http://schemas.microsoft.com/office/drawing/2014/chart" uri="{C3380CC4-5D6E-409C-BE32-E72D297353CC}">
              <c16:uniqueId val="{00000000-23A9-4E02-8338-2854BC6CB17A}"/>
            </c:ext>
          </c:extLst>
        </c:ser>
        <c:ser>
          <c:idx val="1"/>
          <c:order val="1"/>
          <c:tx>
            <c:v>Fuel</c:v>
          </c:tx>
          <c:marker>
            <c:symbol val="none"/>
          </c:marker>
          <c:xVal>
            <c:numRef>
              <c:f>'Loading Graph Data'!$F$5:$F$6</c:f>
              <c:numCache>
                <c:formatCode>General</c:formatCode>
                <c:ptCount val="2"/>
                <c:pt idx="0">
                  <c:v>0</c:v>
                </c:pt>
                <c:pt idx="1">
                  <c:v>14.4</c:v>
                </c:pt>
              </c:numCache>
            </c:numRef>
          </c:xVal>
          <c:yVal>
            <c:numRef>
              <c:f>'Loading Graph Data'!$E$5:$E$6</c:f>
              <c:numCache>
                <c:formatCode>General</c:formatCode>
                <c:ptCount val="2"/>
                <c:pt idx="0">
                  <c:v>0</c:v>
                </c:pt>
                <c:pt idx="1">
                  <c:v>300</c:v>
                </c:pt>
              </c:numCache>
            </c:numRef>
          </c:yVal>
          <c:smooth val="0"/>
          <c:extLst>
            <c:ext xmlns:c16="http://schemas.microsoft.com/office/drawing/2014/chart" uri="{C3380CC4-5D6E-409C-BE32-E72D297353CC}">
              <c16:uniqueId val="{00000001-23A9-4E02-8338-2854BC6CB17A}"/>
            </c:ext>
          </c:extLst>
        </c:ser>
        <c:ser>
          <c:idx val="2"/>
          <c:order val="2"/>
          <c:tx>
            <c:v>2nd Row Pax</c:v>
          </c:tx>
          <c:marker>
            <c:symbol val="none"/>
          </c:marker>
          <c:xVal>
            <c:numRef>
              <c:f>'Loading Graph Data'!$I$5:$I$6</c:f>
              <c:numCache>
                <c:formatCode>General</c:formatCode>
                <c:ptCount val="2"/>
                <c:pt idx="0">
                  <c:v>0</c:v>
                </c:pt>
                <c:pt idx="1">
                  <c:v>32.85</c:v>
                </c:pt>
              </c:numCache>
            </c:numRef>
          </c:xVal>
          <c:yVal>
            <c:numRef>
              <c:f>'Loading Graph Data'!$H$5:$H$6</c:f>
              <c:numCache>
                <c:formatCode>General</c:formatCode>
                <c:ptCount val="2"/>
                <c:pt idx="0">
                  <c:v>0</c:v>
                </c:pt>
                <c:pt idx="1">
                  <c:v>450</c:v>
                </c:pt>
              </c:numCache>
            </c:numRef>
          </c:yVal>
          <c:smooth val="0"/>
          <c:extLst>
            <c:ext xmlns:c16="http://schemas.microsoft.com/office/drawing/2014/chart" uri="{C3380CC4-5D6E-409C-BE32-E72D297353CC}">
              <c16:uniqueId val="{00000002-23A9-4E02-8338-2854BC6CB17A}"/>
            </c:ext>
          </c:extLst>
        </c:ser>
        <c:ser>
          <c:idx val="3"/>
          <c:order val="3"/>
          <c:tx>
            <c:v>Baggage A</c:v>
          </c:tx>
          <c:marker>
            <c:symbol val="none"/>
          </c:marker>
          <c:xVal>
            <c:numRef>
              <c:f>'Loading Graph Data'!$L$5:$L$6</c:f>
              <c:numCache>
                <c:formatCode>0.00</c:formatCode>
                <c:ptCount val="2"/>
                <c:pt idx="0">
                  <c:v>0</c:v>
                </c:pt>
                <c:pt idx="1">
                  <c:v>11.4</c:v>
                </c:pt>
              </c:numCache>
            </c:numRef>
          </c:xVal>
          <c:yVal>
            <c:numRef>
              <c:f>'Loading Graph Data'!$K$5:$K$6</c:f>
              <c:numCache>
                <c:formatCode>General</c:formatCode>
                <c:ptCount val="2"/>
                <c:pt idx="0">
                  <c:v>0</c:v>
                </c:pt>
                <c:pt idx="1">
                  <c:v>120</c:v>
                </c:pt>
              </c:numCache>
            </c:numRef>
          </c:yVal>
          <c:smooth val="0"/>
          <c:extLst>
            <c:ext xmlns:c16="http://schemas.microsoft.com/office/drawing/2014/chart" uri="{C3380CC4-5D6E-409C-BE32-E72D297353CC}">
              <c16:uniqueId val="{00000003-23A9-4E02-8338-2854BC6CB17A}"/>
            </c:ext>
          </c:extLst>
        </c:ser>
        <c:ser>
          <c:idx val="4"/>
          <c:order val="4"/>
          <c:tx>
            <c:v>Baggage B</c:v>
          </c:tx>
          <c:marker>
            <c:symbol val="none"/>
          </c:marker>
          <c:xVal>
            <c:numRef>
              <c:f>'Loading Graph Data'!$N$5:$N$6</c:f>
              <c:numCache>
                <c:formatCode>0.00</c:formatCode>
                <c:ptCount val="2"/>
                <c:pt idx="0">
                  <c:v>0</c:v>
                </c:pt>
                <c:pt idx="1">
                  <c:v>6.15</c:v>
                </c:pt>
              </c:numCache>
            </c:numRef>
          </c:xVal>
          <c:yVal>
            <c:numRef>
              <c:f>'Loading Graph Data'!$M$5:$M$6</c:f>
              <c:numCache>
                <c:formatCode>General</c:formatCode>
                <c:ptCount val="2"/>
                <c:pt idx="0">
                  <c:v>0</c:v>
                </c:pt>
                <c:pt idx="1">
                  <c:v>50</c:v>
                </c:pt>
              </c:numCache>
            </c:numRef>
          </c:yVal>
          <c:smooth val="0"/>
          <c:extLst>
            <c:ext xmlns:c16="http://schemas.microsoft.com/office/drawing/2014/chart" uri="{C3380CC4-5D6E-409C-BE32-E72D297353CC}">
              <c16:uniqueId val="{00000004-23A9-4E02-8338-2854BC6CB17A}"/>
            </c:ext>
          </c:extLst>
        </c:ser>
        <c:dLbls>
          <c:showLegendKey val="0"/>
          <c:showVal val="0"/>
          <c:showCatName val="0"/>
          <c:showSerName val="0"/>
          <c:showPercent val="0"/>
          <c:showBubbleSize val="0"/>
        </c:dLbls>
        <c:axId val="45687936"/>
        <c:axId val="45689856"/>
      </c:scatterChart>
      <c:valAx>
        <c:axId val="45687936"/>
        <c:scaling>
          <c:orientation val="minMax"/>
        </c:scaling>
        <c:delete val="0"/>
        <c:axPos val="b"/>
        <c:majorGridlines/>
        <c:minorGridlines/>
        <c:title>
          <c:tx>
            <c:rich>
              <a:bodyPr/>
              <a:lstStyle/>
              <a:p>
                <a:pPr>
                  <a:defRPr sz="800"/>
                </a:pPr>
                <a:r>
                  <a:rPr lang="en-US" sz="800" b="1"/>
                  <a:t>LOAD MOMENT / 1000 (POUND-INCHES)</a:t>
                </a:r>
              </a:p>
            </c:rich>
          </c:tx>
          <c:overlay val="0"/>
        </c:title>
        <c:numFmt formatCode="General" sourceLinked="1"/>
        <c:majorTickMark val="none"/>
        <c:minorTickMark val="none"/>
        <c:tickLblPos val="nextTo"/>
        <c:crossAx val="45689856"/>
        <c:crosses val="autoZero"/>
        <c:crossBetween val="midCat"/>
      </c:valAx>
      <c:valAx>
        <c:axId val="45689856"/>
        <c:scaling>
          <c:orientation val="minMax"/>
        </c:scaling>
        <c:delete val="0"/>
        <c:axPos val="l"/>
        <c:majorGridlines/>
        <c:minorGridlines/>
        <c:title>
          <c:tx>
            <c:rich>
              <a:bodyPr rot="-5400000" vert="horz"/>
              <a:lstStyle/>
              <a:p>
                <a:pPr>
                  <a:defRPr sz="800"/>
                </a:pPr>
                <a:r>
                  <a:rPr lang="en-US" sz="800"/>
                  <a:t>LOAD WEIGHT (POUNDS)</a:t>
                </a:r>
              </a:p>
            </c:rich>
          </c:tx>
          <c:overlay val="0"/>
        </c:title>
        <c:numFmt formatCode="General" sourceLinked="1"/>
        <c:majorTickMark val="none"/>
        <c:minorTickMark val="none"/>
        <c:tickLblPos val="nextTo"/>
        <c:crossAx val="45687936"/>
        <c:crosses val="autoZero"/>
        <c:crossBetween val="midCat"/>
      </c:valAx>
    </c:plotArea>
    <c:legend>
      <c:legendPos val="r"/>
      <c:layout>
        <c:manualLayout>
          <c:xMode val="edge"/>
          <c:yMode val="edge"/>
          <c:x val="0.69714145106861647"/>
          <c:y val="0.5073465816772903"/>
          <c:w val="0.23142997750281216"/>
          <c:h val="0.28689382577177852"/>
        </c:manualLayout>
      </c:layout>
      <c:overlay val="1"/>
      <c:spPr>
        <a:solidFill>
          <a:schemeClr val="bg1"/>
        </a:solidFill>
      </c:spPr>
    </c:legend>
    <c:plotVisOnly val="1"/>
    <c:dispBlanksAs val="gap"/>
    <c:showDLblsOverMax val="0"/>
  </c:chart>
  <c:txPr>
    <a:bodyPr/>
    <a:lstStyle/>
    <a:p>
      <a:pPr>
        <a:defRPr sz="700"/>
      </a:pPr>
      <a:endParaRPr lang="en-US"/>
    </a:p>
  </c:txPr>
  <c:printSettings>
    <c:headerFooter/>
    <c:pageMargins b="0.75" l="0.7" r="0.7" t="0.75" header="0.3" footer="0.3"/>
    <c:pageSetup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ctr" anchorCtr="1"/>
          <a:lstStyle/>
          <a:p>
            <a:pPr>
              <a:defRPr/>
            </a:pPr>
            <a:r>
              <a:rPr lang="en-US"/>
              <a:t>CENTER OF GRAVITY MOMENT ENVELOPE</a:t>
            </a:r>
          </a:p>
        </c:rich>
      </c:tx>
      <c:layout>
        <c:manualLayout>
          <c:xMode val="edge"/>
          <c:yMode val="edge"/>
          <c:x val="0.15546869141357331"/>
          <c:y val="7.8321666821332625E-2"/>
        </c:manualLayout>
      </c:layout>
      <c:overlay val="1"/>
      <c:spPr>
        <a:solidFill>
          <a:schemeClr val="bg1"/>
        </a:solidFill>
      </c:spPr>
    </c:title>
    <c:autoTitleDeleted val="0"/>
    <c:plotArea>
      <c:layout/>
      <c:scatterChart>
        <c:scatterStyle val="lineMarker"/>
        <c:varyColors val="0"/>
        <c:ser>
          <c:idx val="0"/>
          <c:order val="0"/>
          <c:tx>
            <c:v>Normal</c:v>
          </c:tx>
          <c:marker>
            <c:symbol val="none"/>
          </c:marker>
          <c:xVal>
            <c:numRef>
              <c:f>'Moment Envelope Data'!$G$3:$G$8</c:f>
              <c:numCache>
                <c:formatCode>General</c:formatCode>
                <c:ptCount val="6"/>
                <c:pt idx="0">
                  <c:v>52.5</c:v>
                </c:pt>
                <c:pt idx="1">
                  <c:v>68.25</c:v>
                </c:pt>
                <c:pt idx="2">
                  <c:v>82.5</c:v>
                </c:pt>
                <c:pt idx="3">
                  <c:v>104.55</c:v>
                </c:pt>
                <c:pt idx="4">
                  <c:v>120.61499999999999</c:v>
                </c:pt>
                <c:pt idx="5">
                  <c:v>70.95</c:v>
                </c:pt>
              </c:numCache>
            </c:numRef>
          </c:xVal>
          <c:yVal>
            <c:numRef>
              <c:f>'Moment Envelope Data'!$A$3:$A$8</c:f>
              <c:numCache>
                <c:formatCode>General</c:formatCode>
                <c:ptCount val="6"/>
                <c:pt idx="0">
                  <c:v>1500</c:v>
                </c:pt>
                <c:pt idx="1">
                  <c:v>1950</c:v>
                </c:pt>
                <c:pt idx="2">
                  <c:v>2200</c:v>
                </c:pt>
                <c:pt idx="3">
                  <c:v>2550</c:v>
                </c:pt>
                <c:pt idx="4">
                  <c:v>2550</c:v>
                </c:pt>
                <c:pt idx="5">
                  <c:v>1500</c:v>
                </c:pt>
              </c:numCache>
            </c:numRef>
          </c:yVal>
          <c:smooth val="0"/>
          <c:extLst>
            <c:ext xmlns:c16="http://schemas.microsoft.com/office/drawing/2014/chart" uri="{C3380CC4-5D6E-409C-BE32-E72D297353CC}">
              <c16:uniqueId val="{00000000-E2F4-4AC9-8FBC-CE167B144067}"/>
            </c:ext>
          </c:extLst>
        </c:ser>
        <c:ser>
          <c:idx val="1"/>
          <c:order val="1"/>
          <c:tx>
            <c:v>Utility</c:v>
          </c:tx>
          <c:marker>
            <c:symbol val="none"/>
          </c:marker>
          <c:xVal>
            <c:numRef>
              <c:f>'Moment Envelope Data'!$H$3:$H$8</c:f>
              <c:numCache>
                <c:formatCode>General</c:formatCode>
                <c:ptCount val="6"/>
                <c:pt idx="0">
                  <c:v>52.5</c:v>
                </c:pt>
                <c:pt idx="1">
                  <c:v>68.25</c:v>
                </c:pt>
                <c:pt idx="2">
                  <c:v>82.5</c:v>
                </c:pt>
                <c:pt idx="3">
                  <c:v>82.5</c:v>
                </c:pt>
                <c:pt idx="4">
                  <c:v>89.1</c:v>
                </c:pt>
                <c:pt idx="5">
                  <c:v>60.75</c:v>
                </c:pt>
              </c:numCache>
            </c:numRef>
          </c:xVal>
          <c:yVal>
            <c:numRef>
              <c:f>'Moment Envelope Data'!$C$3:$C$8</c:f>
              <c:numCache>
                <c:formatCode>General</c:formatCode>
                <c:ptCount val="6"/>
                <c:pt idx="0">
                  <c:v>1500</c:v>
                </c:pt>
                <c:pt idx="1">
                  <c:v>1950</c:v>
                </c:pt>
                <c:pt idx="2">
                  <c:v>2200</c:v>
                </c:pt>
                <c:pt idx="3">
                  <c:v>2200</c:v>
                </c:pt>
                <c:pt idx="4">
                  <c:v>2200</c:v>
                </c:pt>
                <c:pt idx="5">
                  <c:v>1500</c:v>
                </c:pt>
              </c:numCache>
            </c:numRef>
          </c:yVal>
          <c:smooth val="0"/>
          <c:extLst>
            <c:ext xmlns:c16="http://schemas.microsoft.com/office/drawing/2014/chart" uri="{C3380CC4-5D6E-409C-BE32-E72D297353CC}">
              <c16:uniqueId val="{00000001-E2F4-4AC9-8FBC-CE167B144067}"/>
            </c:ext>
          </c:extLst>
        </c:ser>
        <c:ser>
          <c:idx val="2"/>
          <c:order val="2"/>
          <c:tx>
            <c:v>W&amp;B Trend</c:v>
          </c:tx>
          <c:marker>
            <c:symbol val="none"/>
          </c:marker>
          <c:xVal>
            <c:numRef>
              <c:f>N839CP!$B$28:$B$30</c:f>
              <c:numCache>
                <c:formatCode>0.00</c:formatCode>
                <c:ptCount val="3"/>
                <c:pt idx="0">
                  <c:v>92.899330000000006</c:v>
                </c:pt>
                <c:pt idx="1">
                  <c:v>104.01133000000002</c:v>
                </c:pt>
                <c:pt idx="2">
                  <c:v>106.89133000000001</c:v>
                </c:pt>
              </c:numCache>
            </c:numRef>
          </c:xVal>
          <c:yVal>
            <c:numRef>
              <c:f>N839CP!$C$28:$C$30</c:f>
              <c:numCache>
                <c:formatCode>0.0</c:formatCode>
                <c:ptCount val="3"/>
                <c:pt idx="0">
                  <c:v>2220.96</c:v>
                </c:pt>
                <c:pt idx="1">
                  <c:v>2452.46</c:v>
                </c:pt>
                <c:pt idx="2">
                  <c:v>2512.46</c:v>
                </c:pt>
              </c:numCache>
            </c:numRef>
          </c:yVal>
          <c:smooth val="0"/>
          <c:extLst>
            <c:ext xmlns:c16="http://schemas.microsoft.com/office/drawing/2014/chart" uri="{C3380CC4-5D6E-409C-BE32-E72D297353CC}">
              <c16:uniqueId val="{00000002-E2F4-4AC9-8FBC-CE167B144067}"/>
            </c:ext>
          </c:extLst>
        </c:ser>
        <c:dLbls>
          <c:showLegendKey val="0"/>
          <c:showVal val="0"/>
          <c:showCatName val="0"/>
          <c:showSerName val="0"/>
          <c:showPercent val="0"/>
          <c:showBubbleSize val="0"/>
        </c:dLbls>
        <c:axId val="45730816"/>
        <c:axId val="45737088"/>
      </c:scatterChart>
      <c:valAx>
        <c:axId val="45730816"/>
        <c:scaling>
          <c:orientation val="minMax"/>
          <c:max val="125"/>
          <c:min val="50"/>
        </c:scaling>
        <c:delete val="0"/>
        <c:axPos val="b"/>
        <c:majorGridlines/>
        <c:minorGridlines/>
        <c:title>
          <c:tx>
            <c:rich>
              <a:bodyPr/>
              <a:lstStyle/>
              <a:p>
                <a:pPr>
                  <a:defRPr/>
                </a:pPr>
                <a:r>
                  <a:rPr lang="en-US"/>
                  <a:t>LOADED AIRCRAFT MOMENT / 1000  (POUND-INCHES)</a:t>
                </a:r>
              </a:p>
            </c:rich>
          </c:tx>
          <c:overlay val="0"/>
        </c:title>
        <c:numFmt formatCode="General" sourceLinked="1"/>
        <c:majorTickMark val="out"/>
        <c:minorTickMark val="none"/>
        <c:tickLblPos val="nextTo"/>
        <c:crossAx val="45737088"/>
        <c:crosses val="autoZero"/>
        <c:crossBetween val="midCat"/>
        <c:majorUnit val="5"/>
        <c:minorUnit val="1"/>
      </c:valAx>
      <c:valAx>
        <c:axId val="45737088"/>
        <c:scaling>
          <c:orientation val="minMax"/>
          <c:max val="2600"/>
          <c:min val="1500"/>
        </c:scaling>
        <c:delete val="0"/>
        <c:axPos val="l"/>
        <c:majorGridlines/>
        <c:minorGridlines/>
        <c:title>
          <c:tx>
            <c:rich>
              <a:bodyPr rot="-5400000" vert="horz"/>
              <a:lstStyle/>
              <a:p>
                <a:pPr>
                  <a:defRPr/>
                </a:pPr>
                <a:r>
                  <a:rPr lang="en-US"/>
                  <a:t>LOADED AIRCRAFT WEIGHT (POUNDS)</a:t>
                </a:r>
              </a:p>
            </c:rich>
          </c:tx>
          <c:overlay val="0"/>
        </c:title>
        <c:numFmt formatCode="General" sourceLinked="1"/>
        <c:majorTickMark val="out"/>
        <c:minorTickMark val="none"/>
        <c:tickLblPos val="nextTo"/>
        <c:crossAx val="45730816"/>
        <c:crosses val="autoZero"/>
        <c:crossBetween val="midCat"/>
        <c:majorUnit val="100"/>
        <c:minorUnit val="20"/>
      </c:valAx>
    </c:plotArea>
    <c:legend>
      <c:legendPos val="r"/>
      <c:layout>
        <c:manualLayout>
          <c:xMode val="edge"/>
          <c:yMode val="edge"/>
          <c:x val="0.66797956465291941"/>
          <c:y val="0.58920124233963"/>
          <c:w val="0.20181594488188975"/>
          <c:h val="0.17529869129105352"/>
        </c:manualLayout>
      </c:layout>
      <c:overlay val="1"/>
      <c:spPr>
        <a:solidFill>
          <a:schemeClr val="bg1"/>
        </a:solidFill>
      </c:spPr>
    </c:legend>
    <c:plotVisOnly val="1"/>
    <c:dispBlanksAs val="gap"/>
    <c:showDLblsOverMax val="0"/>
  </c:chart>
  <c:txPr>
    <a:bodyPr/>
    <a:lstStyle/>
    <a:p>
      <a:pPr>
        <a:defRPr sz="800"/>
      </a:pPr>
      <a:endParaRPr lang="en-US"/>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LOADING GRAPH</a:t>
            </a:r>
          </a:p>
        </c:rich>
      </c:tx>
      <c:layout>
        <c:manualLayout>
          <c:xMode val="edge"/>
          <c:yMode val="edge"/>
          <c:x val="0.17511154855643044"/>
          <c:y val="0.13492063492063491"/>
        </c:manualLayout>
      </c:layout>
      <c:overlay val="1"/>
      <c:spPr>
        <a:solidFill>
          <a:schemeClr val="bg1"/>
        </a:solidFill>
      </c:spPr>
    </c:title>
    <c:autoTitleDeleted val="0"/>
    <c:plotArea>
      <c:layout/>
      <c:scatterChart>
        <c:scatterStyle val="lineMarker"/>
        <c:varyColors val="0"/>
        <c:ser>
          <c:idx val="0"/>
          <c:order val="0"/>
          <c:tx>
            <c:v>Pilot &amp; Front Pax</c:v>
          </c:tx>
          <c:marker>
            <c:symbol val="none"/>
          </c:marker>
          <c:xVal>
            <c:numRef>
              <c:f>'Loading Graph Data'!$B$5:$B$6</c:f>
              <c:numCache>
                <c:formatCode>General</c:formatCode>
                <c:ptCount val="2"/>
                <c:pt idx="0">
                  <c:v>0</c:v>
                </c:pt>
                <c:pt idx="1">
                  <c:v>16.649999999999999</c:v>
                </c:pt>
              </c:numCache>
            </c:numRef>
          </c:xVal>
          <c:yVal>
            <c:numRef>
              <c:f>'Loading Graph Data'!$A$5:$A$6</c:f>
              <c:numCache>
                <c:formatCode>General</c:formatCode>
                <c:ptCount val="2"/>
                <c:pt idx="0">
                  <c:v>0</c:v>
                </c:pt>
                <c:pt idx="1">
                  <c:v>450</c:v>
                </c:pt>
              </c:numCache>
            </c:numRef>
          </c:yVal>
          <c:smooth val="0"/>
          <c:extLst>
            <c:ext xmlns:c16="http://schemas.microsoft.com/office/drawing/2014/chart" uri="{C3380CC4-5D6E-409C-BE32-E72D297353CC}">
              <c16:uniqueId val="{00000000-2210-4A3E-B251-09B5676C2EC0}"/>
            </c:ext>
          </c:extLst>
        </c:ser>
        <c:ser>
          <c:idx val="1"/>
          <c:order val="1"/>
          <c:tx>
            <c:v>Fuel</c:v>
          </c:tx>
          <c:marker>
            <c:symbol val="none"/>
          </c:marker>
          <c:xVal>
            <c:numRef>
              <c:f>'Loading Graph Data'!$F$12:$F$13</c:f>
              <c:numCache>
                <c:formatCode>General</c:formatCode>
                <c:ptCount val="2"/>
                <c:pt idx="0">
                  <c:v>0</c:v>
                </c:pt>
                <c:pt idx="1">
                  <c:v>24.273</c:v>
                </c:pt>
              </c:numCache>
            </c:numRef>
          </c:xVal>
          <c:yVal>
            <c:numRef>
              <c:f>'Loading Graph Data'!$E$12:$E$13</c:f>
              <c:numCache>
                <c:formatCode>General</c:formatCode>
                <c:ptCount val="2"/>
                <c:pt idx="0">
                  <c:v>0</c:v>
                </c:pt>
                <c:pt idx="1">
                  <c:v>522</c:v>
                </c:pt>
              </c:numCache>
            </c:numRef>
          </c:yVal>
          <c:smooth val="0"/>
          <c:extLst>
            <c:ext xmlns:c16="http://schemas.microsoft.com/office/drawing/2014/chart" uri="{C3380CC4-5D6E-409C-BE32-E72D297353CC}">
              <c16:uniqueId val="{00000001-2210-4A3E-B251-09B5676C2EC0}"/>
            </c:ext>
          </c:extLst>
        </c:ser>
        <c:ser>
          <c:idx val="2"/>
          <c:order val="2"/>
          <c:tx>
            <c:v>2nd Row Pax</c:v>
          </c:tx>
          <c:marker>
            <c:symbol val="none"/>
          </c:marker>
          <c:xVal>
            <c:numRef>
              <c:f>'Loading Graph Data'!$I$12:$I$13</c:f>
              <c:numCache>
                <c:formatCode>General</c:formatCode>
                <c:ptCount val="2"/>
                <c:pt idx="0">
                  <c:v>0</c:v>
                </c:pt>
                <c:pt idx="1">
                  <c:v>33.299999999999997</c:v>
                </c:pt>
              </c:numCache>
            </c:numRef>
          </c:xVal>
          <c:yVal>
            <c:numRef>
              <c:f>'Loading Graph Data'!$H$12:$H$13</c:f>
              <c:numCache>
                <c:formatCode>General</c:formatCode>
                <c:ptCount val="2"/>
                <c:pt idx="0">
                  <c:v>0</c:v>
                </c:pt>
                <c:pt idx="1">
                  <c:v>450</c:v>
                </c:pt>
              </c:numCache>
            </c:numRef>
          </c:yVal>
          <c:smooth val="0"/>
          <c:extLst>
            <c:ext xmlns:c16="http://schemas.microsoft.com/office/drawing/2014/chart" uri="{C3380CC4-5D6E-409C-BE32-E72D297353CC}">
              <c16:uniqueId val="{00000002-2210-4A3E-B251-09B5676C2EC0}"/>
            </c:ext>
          </c:extLst>
        </c:ser>
        <c:ser>
          <c:idx val="3"/>
          <c:order val="3"/>
          <c:tx>
            <c:v>Baggage A</c:v>
          </c:tx>
          <c:marker>
            <c:symbol val="none"/>
          </c:marker>
          <c:xVal>
            <c:numRef>
              <c:f>'Loading Graph Data'!$L$12:$L$13</c:f>
              <c:numCache>
                <c:formatCode>0.00</c:formatCode>
                <c:ptCount val="2"/>
                <c:pt idx="0">
                  <c:v>0</c:v>
                </c:pt>
                <c:pt idx="1">
                  <c:v>11.64</c:v>
                </c:pt>
              </c:numCache>
            </c:numRef>
          </c:xVal>
          <c:yVal>
            <c:numRef>
              <c:f>'Loading Graph Data'!$K$12:$K$13</c:f>
              <c:numCache>
                <c:formatCode>General</c:formatCode>
                <c:ptCount val="2"/>
                <c:pt idx="0">
                  <c:v>0</c:v>
                </c:pt>
                <c:pt idx="1">
                  <c:v>120</c:v>
                </c:pt>
              </c:numCache>
            </c:numRef>
          </c:yVal>
          <c:smooth val="0"/>
          <c:extLst>
            <c:ext xmlns:c16="http://schemas.microsoft.com/office/drawing/2014/chart" uri="{C3380CC4-5D6E-409C-BE32-E72D297353CC}">
              <c16:uniqueId val="{00000003-2210-4A3E-B251-09B5676C2EC0}"/>
            </c:ext>
          </c:extLst>
        </c:ser>
        <c:ser>
          <c:idx val="4"/>
          <c:order val="4"/>
          <c:tx>
            <c:v>Baggage B</c:v>
          </c:tx>
          <c:marker>
            <c:symbol val="none"/>
          </c:marker>
          <c:xVal>
            <c:numRef>
              <c:f>'Loading Graph Data'!$N$12:$N$13</c:f>
              <c:numCache>
                <c:formatCode>0.00</c:formatCode>
                <c:ptCount val="2"/>
                <c:pt idx="0">
                  <c:v>0</c:v>
                </c:pt>
                <c:pt idx="1">
                  <c:v>9.2799999999999994</c:v>
                </c:pt>
              </c:numCache>
            </c:numRef>
          </c:xVal>
          <c:yVal>
            <c:numRef>
              <c:f>'Loading Graph Data'!$M$12:$M$13</c:f>
              <c:numCache>
                <c:formatCode>General</c:formatCode>
                <c:ptCount val="2"/>
                <c:pt idx="0">
                  <c:v>0</c:v>
                </c:pt>
                <c:pt idx="1">
                  <c:v>80</c:v>
                </c:pt>
              </c:numCache>
            </c:numRef>
          </c:yVal>
          <c:smooth val="0"/>
          <c:extLst>
            <c:ext xmlns:c16="http://schemas.microsoft.com/office/drawing/2014/chart" uri="{C3380CC4-5D6E-409C-BE32-E72D297353CC}">
              <c16:uniqueId val="{00000004-2210-4A3E-B251-09B5676C2EC0}"/>
            </c:ext>
          </c:extLst>
        </c:ser>
        <c:ser>
          <c:idx val="5"/>
          <c:order val="5"/>
          <c:tx>
            <c:v>Baggage C</c:v>
          </c:tx>
          <c:marker>
            <c:symbol val="none"/>
          </c:marker>
          <c:xVal>
            <c:numRef>
              <c:f>'Loading Graph Data'!$P$12:$P$13</c:f>
              <c:numCache>
                <c:formatCode>0.00</c:formatCode>
                <c:ptCount val="2"/>
                <c:pt idx="0">
                  <c:v>0</c:v>
                </c:pt>
                <c:pt idx="1">
                  <c:v>10.32</c:v>
                </c:pt>
              </c:numCache>
            </c:numRef>
          </c:xVal>
          <c:yVal>
            <c:numRef>
              <c:f>'Loading Graph Data'!$O$12:$O$13</c:f>
              <c:numCache>
                <c:formatCode>General</c:formatCode>
                <c:ptCount val="2"/>
                <c:pt idx="0">
                  <c:v>0</c:v>
                </c:pt>
                <c:pt idx="1">
                  <c:v>80</c:v>
                </c:pt>
              </c:numCache>
            </c:numRef>
          </c:yVal>
          <c:smooth val="0"/>
          <c:extLst>
            <c:ext xmlns:c16="http://schemas.microsoft.com/office/drawing/2014/chart" uri="{C3380CC4-5D6E-409C-BE32-E72D297353CC}">
              <c16:uniqueId val="{00000005-2210-4A3E-B251-09B5676C2EC0}"/>
            </c:ext>
          </c:extLst>
        </c:ser>
        <c:dLbls>
          <c:showLegendKey val="0"/>
          <c:showVal val="0"/>
          <c:showCatName val="0"/>
          <c:showSerName val="0"/>
          <c:showPercent val="0"/>
          <c:showBubbleSize val="0"/>
        </c:dLbls>
        <c:axId val="77395456"/>
        <c:axId val="77397376"/>
      </c:scatterChart>
      <c:valAx>
        <c:axId val="77395456"/>
        <c:scaling>
          <c:orientation val="minMax"/>
        </c:scaling>
        <c:delete val="0"/>
        <c:axPos val="b"/>
        <c:majorGridlines/>
        <c:minorGridlines/>
        <c:title>
          <c:tx>
            <c:rich>
              <a:bodyPr/>
              <a:lstStyle/>
              <a:p>
                <a:pPr>
                  <a:defRPr sz="800"/>
                </a:pPr>
                <a:r>
                  <a:rPr lang="en-US" sz="800" b="1"/>
                  <a:t>LOAD MOMENT / 1000 (POUND-INCHES)</a:t>
                </a:r>
              </a:p>
            </c:rich>
          </c:tx>
          <c:overlay val="0"/>
        </c:title>
        <c:numFmt formatCode="General" sourceLinked="1"/>
        <c:majorTickMark val="none"/>
        <c:minorTickMark val="none"/>
        <c:tickLblPos val="nextTo"/>
        <c:crossAx val="77397376"/>
        <c:crosses val="autoZero"/>
        <c:crossBetween val="midCat"/>
      </c:valAx>
      <c:valAx>
        <c:axId val="77397376"/>
        <c:scaling>
          <c:orientation val="minMax"/>
        </c:scaling>
        <c:delete val="0"/>
        <c:axPos val="l"/>
        <c:majorGridlines/>
        <c:minorGridlines/>
        <c:title>
          <c:tx>
            <c:rich>
              <a:bodyPr rot="-5400000" vert="horz"/>
              <a:lstStyle/>
              <a:p>
                <a:pPr>
                  <a:defRPr sz="800"/>
                </a:pPr>
                <a:r>
                  <a:rPr lang="en-US" sz="800"/>
                  <a:t>LOAD WEIGHT (POUNDS)</a:t>
                </a:r>
              </a:p>
            </c:rich>
          </c:tx>
          <c:overlay val="0"/>
        </c:title>
        <c:numFmt formatCode="General" sourceLinked="1"/>
        <c:majorTickMark val="none"/>
        <c:minorTickMark val="none"/>
        <c:tickLblPos val="nextTo"/>
        <c:crossAx val="77395456"/>
        <c:crosses val="autoZero"/>
        <c:crossBetween val="midCat"/>
      </c:valAx>
    </c:plotArea>
    <c:legend>
      <c:legendPos val="r"/>
      <c:layout>
        <c:manualLayout>
          <c:xMode val="edge"/>
          <c:yMode val="edge"/>
          <c:x val="0.69416526059242589"/>
          <c:y val="0.47259185474420806"/>
          <c:w val="0.23440616797900263"/>
          <c:h val="0.34122602305422928"/>
        </c:manualLayout>
      </c:layout>
      <c:overlay val="1"/>
      <c:spPr>
        <a:solidFill>
          <a:schemeClr val="bg1"/>
        </a:solidFill>
      </c:spPr>
    </c:legend>
    <c:plotVisOnly val="1"/>
    <c:dispBlanksAs val="gap"/>
    <c:showDLblsOverMax val="0"/>
  </c:chart>
  <c:txPr>
    <a:bodyPr/>
    <a:lstStyle/>
    <a:p>
      <a:pPr>
        <a:defRPr sz="700"/>
      </a:pPr>
      <a:endParaRPr lang="en-US"/>
    </a:p>
  </c:txPr>
  <c:printSettings>
    <c:headerFooter/>
    <c:pageMargins b="0.75" l="0.7" r="0.7" t="0.75" header="0.3" footer="0.3"/>
    <c:pageSetup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9525</xdr:colOff>
      <xdr:row>18</xdr:row>
      <xdr:rowOff>28576</xdr:rowOff>
    </xdr:from>
    <xdr:to>
      <xdr:col>7</xdr:col>
      <xdr:colOff>9525</xdr:colOff>
      <xdr:row>31</xdr:row>
      <xdr:rowOff>466726</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33338</xdr:rowOff>
    </xdr:from>
    <xdr:to>
      <xdr:col>7</xdr:col>
      <xdr:colOff>0</xdr:colOff>
      <xdr:row>18</xdr:row>
      <xdr:rowOff>1</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0.53795</cdr:x>
      <cdr:y>0.08631</cdr:y>
    </cdr:from>
    <cdr:to>
      <cdr:x>0.84598</cdr:x>
      <cdr:y>0.1369</cdr:y>
    </cdr:to>
    <cdr:sp macro="" textlink="">
      <cdr:nvSpPr>
        <cdr:cNvPr id="2" name="TextBox 1"/>
        <cdr:cNvSpPr txBox="1"/>
      </cdr:nvSpPr>
      <cdr:spPr>
        <a:xfrm xmlns:a="http://schemas.openxmlformats.org/drawingml/2006/main">
          <a:off x="2295525" y="276225"/>
          <a:ext cx="1314450"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0.45536</cdr:x>
      <cdr:y>0.18567</cdr:y>
    </cdr:from>
    <cdr:to>
      <cdr:x>0.62277</cdr:x>
      <cdr:y>0.22139</cdr:y>
    </cdr:to>
    <cdr:sp macro="" textlink="">
      <cdr:nvSpPr>
        <cdr:cNvPr id="3" name="TextBox 2"/>
        <cdr:cNvSpPr txBox="1"/>
      </cdr:nvSpPr>
      <cdr:spPr>
        <a:xfrm xmlns:a="http://schemas.openxmlformats.org/drawingml/2006/main">
          <a:off x="1943091" y="604827"/>
          <a:ext cx="714372" cy="116359"/>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tIns="0" rIns="0" bIns="0" rtlCol="0"/>
        <a:lstStyle xmlns:a="http://schemas.openxmlformats.org/drawingml/2006/main"/>
        <a:p xmlns:a="http://schemas.openxmlformats.org/drawingml/2006/main">
          <a:r>
            <a:rPr lang="en-US" sz="700"/>
            <a:t>Pilot and Front Pax</a:t>
          </a:r>
        </a:p>
      </cdr:txBody>
    </cdr:sp>
  </cdr:relSizeAnchor>
  <cdr:relSizeAnchor xmlns:cdr="http://schemas.openxmlformats.org/drawingml/2006/chartDrawing">
    <cdr:from>
      <cdr:x>0.72098</cdr:x>
      <cdr:y>0.11717</cdr:y>
    </cdr:from>
    <cdr:to>
      <cdr:x>0.77232</cdr:x>
      <cdr:y>0.15884</cdr:y>
    </cdr:to>
    <cdr:sp macro="" textlink="">
      <cdr:nvSpPr>
        <cdr:cNvPr id="4" name="TextBox 3"/>
        <cdr:cNvSpPr txBox="1"/>
      </cdr:nvSpPr>
      <cdr:spPr>
        <a:xfrm xmlns:a="http://schemas.openxmlformats.org/drawingml/2006/main">
          <a:off x="3076581" y="381687"/>
          <a:ext cx="219078" cy="135742"/>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lIns="0" tIns="0" rIns="0" bIns="0" rtlCol="0"/>
        <a:lstStyle xmlns:a="http://schemas.openxmlformats.org/drawingml/2006/main"/>
        <a:p xmlns:a="http://schemas.openxmlformats.org/drawingml/2006/main">
          <a:pPr algn="ctr"/>
          <a:r>
            <a:rPr lang="en-US" sz="700"/>
            <a:t>Fuel</a:t>
          </a:r>
          <a:endParaRPr lang="en-US" sz="1100"/>
        </a:p>
      </cdr:txBody>
    </cdr:sp>
  </cdr:relSizeAnchor>
  <cdr:relSizeAnchor xmlns:cdr="http://schemas.openxmlformats.org/drawingml/2006/chartDrawing">
    <cdr:from>
      <cdr:x>0.82589</cdr:x>
      <cdr:y>0.21131</cdr:y>
    </cdr:from>
    <cdr:to>
      <cdr:x>0.93527</cdr:x>
      <cdr:y>0.26488</cdr:y>
    </cdr:to>
    <cdr:sp macro="" textlink="">
      <cdr:nvSpPr>
        <cdr:cNvPr id="5" name="TextBox 4"/>
        <cdr:cNvSpPr txBox="1"/>
      </cdr:nvSpPr>
      <cdr:spPr>
        <a:xfrm xmlns:a="http://schemas.openxmlformats.org/drawingml/2006/main">
          <a:off x="3524251" y="676276"/>
          <a:ext cx="466724" cy="171449"/>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nchor="ctr"/>
        <a:lstStyle xmlns:a="http://schemas.openxmlformats.org/drawingml/2006/main"/>
        <a:p xmlns:a="http://schemas.openxmlformats.org/drawingml/2006/main">
          <a:pPr algn="ctr"/>
          <a:r>
            <a:rPr lang="en-US" sz="700"/>
            <a:t>2nd Row Pax</a:t>
          </a:r>
        </a:p>
      </cdr:txBody>
    </cdr:sp>
  </cdr:relSizeAnchor>
  <cdr:relSizeAnchor xmlns:cdr="http://schemas.openxmlformats.org/drawingml/2006/chartDrawing">
    <cdr:from>
      <cdr:x>0.41741</cdr:x>
      <cdr:y>0.65716</cdr:y>
    </cdr:from>
    <cdr:to>
      <cdr:x>0.51563</cdr:x>
      <cdr:y>0.69883</cdr:y>
    </cdr:to>
    <cdr:sp macro="" textlink="">
      <cdr:nvSpPr>
        <cdr:cNvPr id="6" name="TextBox 5"/>
        <cdr:cNvSpPr txBox="1"/>
      </cdr:nvSpPr>
      <cdr:spPr>
        <a:xfrm xmlns:a="http://schemas.openxmlformats.org/drawingml/2006/main">
          <a:off x="1781166" y="2140744"/>
          <a:ext cx="419124" cy="135742"/>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nchor="ctr"/>
        <a:lstStyle xmlns:a="http://schemas.openxmlformats.org/drawingml/2006/main"/>
        <a:p xmlns:a="http://schemas.openxmlformats.org/drawingml/2006/main">
          <a:pPr algn="ctr"/>
          <a:r>
            <a:rPr lang="en-US" sz="700"/>
            <a:t>Baggage A</a:t>
          </a:r>
        </a:p>
      </cdr:txBody>
    </cdr:sp>
  </cdr:relSizeAnchor>
  <cdr:relSizeAnchor xmlns:cdr="http://schemas.openxmlformats.org/drawingml/2006/chartDrawing">
    <cdr:from>
      <cdr:x>0.38393</cdr:x>
      <cdr:y>0.74561</cdr:y>
    </cdr:from>
    <cdr:to>
      <cdr:x>0.49107</cdr:x>
      <cdr:y>0.79825</cdr:y>
    </cdr:to>
    <cdr:sp macro="" textlink="">
      <cdr:nvSpPr>
        <cdr:cNvPr id="7" name="TextBox 6"/>
        <cdr:cNvSpPr txBox="1"/>
      </cdr:nvSpPr>
      <cdr:spPr>
        <a:xfrm xmlns:a="http://schemas.openxmlformats.org/drawingml/2006/main">
          <a:off x="1638300" y="2428875"/>
          <a:ext cx="457200" cy="1714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horzOverflow="clip" wrap="none" lIns="0" tIns="0" rIns="0" bIns="0" rtlCol="0" anchor="ctr" anchorCtr="0">
          <a:noAutofit/>
        </a:bodyPr>
        <a:lstStyle xmlns:a="http://schemas.openxmlformats.org/drawingml/2006/main"/>
        <a:p xmlns:a="http://schemas.openxmlformats.org/drawingml/2006/main">
          <a:r>
            <a:rPr lang="en-US" sz="700"/>
            <a:t>Baggage C</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18</xdr:row>
      <xdr:rowOff>19051</xdr:rowOff>
    </xdr:from>
    <xdr:to>
      <xdr:col>7</xdr:col>
      <xdr:colOff>0</xdr:colOff>
      <xdr:row>30</xdr:row>
      <xdr:rowOff>323851</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33338</xdr:rowOff>
    </xdr:from>
    <xdr:to>
      <xdr:col>7</xdr:col>
      <xdr:colOff>0</xdr:colOff>
      <xdr:row>18</xdr:row>
      <xdr:rowOff>1</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0.53795</cdr:x>
      <cdr:y>0.08631</cdr:y>
    </cdr:from>
    <cdr:to>
      <cdr:x>0.84598</cdr:x>
      <cdr:y>0.1369</cdr:y>
    </cdr:to>
    <cdr:sp macro="" textlink="">
      <cdr:nvSpPr>
        <cdr:cNvPr id="2" name="TextBox 1"/>
        <cdr:cNvSpPr txBox="1"/>
      </cdr:nvSpPr>
      <cdr:spPr>
        <a:xfrm xmlns:a="http://schemas.openxmlformats.org/drawingml/2006/main">
          <a:off x="2295525" y="276225"/>
          <a:ext cx="1314450"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0.53348</cdr:x>
      <cdr:y>0.08333</cdr:y>
    </cdr:from>
    <cdr:to>
      <cdr:x>0.70089</cdr:x>
      <cdr:y>0.11905</cdr:y>
    </cdr:to>
    <cdr:sp macro="" textlink="">
      <cdr:nvSpPr>
        <cdr:cNvPr id="3" name="TextBox 2"/>
        <cdr:cNvSpPr txBox="1"/>
      </cdr:nvSpPr>
      <cdr:spPr>
        <a:xfrm xmlns:a="http://schemas.openxmlformats.org/drawingml/2006/main">
          <a:off x="2276477" y="266700"/>
          <a:ext cx="714374" cy="1143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tIns="0" rIns="0" bIns="0" rtlCol="0"/>
        <a:lstStyle xmlns:a="http://schemas.openxmlformats.org/drawingml/2006/main"/>
        <a:p xmlns:a="http://schemas.openxmlformats.org/drawingml/2006/main">
          <a:r>
            <a:rPr lang="en-US" sz="700"/>
            <a:t>Pilot and Front Pax</a:t>
          </a:r>
        </a:p>
      </cdr:txBody>
    </cdr:sp>
  </cdr:relSizeAnchor>
  <cdr:relSizeAnchor xmlns:cdr="http://schemas.openxmlformats.org/drawingml/2006/chartDrawing">
    <cdr:from>
      <cdr:x>0.47768</cdr:x>
      <cdr:y>0.34524</cdr:y>
    </cdr:from>
    <cdr:to>
      <cdr:x>0.52902</cdr:x>
      <cdr:y>0.38691</cdr:y>
    </cdr:to>
    <cdr:sp macro="" textlink="">
      <cdr:nvSpPr>
        <cdr:cNvPr id="4" name="TextBox 3"/>
        <cdr:cNvSpPr txBox="1"/>
      </cdr:nvSpPr>
      <cdr:spPr>
        <a:xfrm xmlns:a="http://schemas.openxmlformats.org/drawingml/2006/main">
          <a:off x="2038350" y="1104905"/>
          <a:ext cx="219078" cy="13336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lIns="0" tIns="0" rIns="0" bIns="0" rtlCol="0"/>
        <a:lstStyle xmlns:a="http://schemas.openxmlformats.org/drawingml/2006/main"/>
        <a:p xmlns:a="http://schemas.openxmlformats.org/drawingml/2006/main">
          <a:pPr algn="ctr"/>
          <a:r>
            <a:rPr lang="en-US" sz="700"/>
            <a:t>Fuel</a:t>
          </a:r>
          <a:endParaRPr lang="en-US" sz="1100"/>
        </a:p>
      </cdr:txBody>
    </cdr:sp>
  </cdr:relSizeAnchor>
  <cdr:relSizeAnchor xmlns:cdr="http://schemas.openxmlformats.org/drawingml/2006/chartDrawing">
    <cdr:from>
      <cdr:x>0.82589</cdr:x>
      <cdr:y>0.21131</cdr:y>
    </cdr:from>
    <cdr:to>
      <cdr:x>0.93527</cdr:x>
      <cdr:y>0.26488</cdr:y>
    </cdr:to>
    <cdr:sp macro="" textlink="">
      <cdr:nvSpPr>
        <cdr:cNvPr id="5" name="TextBox 4"/>
        <cdr:cNvSpPr txBox="1"/>
      </cdr:nvSpPr>
      <cdr:spPr>
        <a:xfrm xmlns:a="http://schemas.openxmlformats.org/drawingml/2006/main">
          <a:off x="3524251" y="676276"/>
          <a:ext cx="466724" cy="171449"/>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nchor="ctr"/>
        <a:lstStyle xmlns:a="http://schemas.openxmlformats.org/drawingml/2006/main"/>
        <a:p xmlns:a="http://schemas.openxmlformats.org/drawingml/2006/main">
          <a:pPr algn="ctr"/>
          <a:r>
            <a:rPr lang="en-US" sz="700"/>
            <a:t>2nd Row Pax</a:t>
          </a:r>
        </a:p>
      </cdr:txBody>
    </cdr:sp>
  </cdr:relSizeAnchor>
  <cdr:relSizeAnchor xmlns:cdr="http://schemas.openxmlformats.org/drawingml/2006/chartDrawing">
    <cdr:from>
      <cdr:x>0.40848</cdr:x>
      <cdr:y>0.625</cdr:y>
    </cdr:from>
    <cdr:to>
      <cdr:x>0.5067</cdr:x>
      <cdr:y>0.66667</cdr:y>
    </cdr:to>
    <cdr:sp macro="" textlink="">
      <cdr:nvSpPr>
        <cdr:cNvPr id="6" name="TextBox 5"/>
        <cdr:cNvSpPr txBox="1"/>
      </cdr:nvSpPr>
      <cdr:spPr>
        <a:xfrm xmlns:a="http://schemas.openxmlformats.org/drawingml/2006/main">
          <a:off x="1743076" y="2000250"/>
          <a:ext cx="419100" cy="1333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nchor="ctr"/>
        <a:lstStyle xmlns:a="http://schemas.openxmlformats.org/drawingml/2006/main"/>
        <a:p xmlns:a="http://schemas.openxmlformats.org/drawingml/2006/main">
          <a:pPr algn="ctr"/>
          <a:r>
            <a:rPr lang="en-US" sz="700"/>
            <a:t>Baggage A</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9525</xdr:colOff>
      <xdr:row>18</xdr:row>
      <xdr:rowOff>28575</xdr:rowOff>
    </xdr:from>
    <xdr:to>
      <xdr:col>7</xdr:col>
      <xdr:colOff>9525</xdr:colOff>
      <xdr:row>31</xdr:row>
      <xdr:rowOff>428624</xdr:rowOff>
    </xdr:to>
    <xdr:graphicFrame macro="">
      <xdr:nvGraphicFramePr>
        <xdr:cNvPr id="2" name="Chart 1">
          <a:extLst>
            <a:ext uri="{FF2B5EF4-FFF2-40B4-BE49-F238E27FC236}">
              <a16:creationId xmlns:a16="http://schemas.microsoft.com/office/drawing/2014/main" id="{80F96F0F-A741-4E38-A219-7E9A1EA7B4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33338</xdr:rowOff>
    </xdr:from>
    <xdr:to>
      <xdr:col>7</xdr:col>
      <xdr:colOff>0</xdr:colOff>
      <xdr:row>18</xdr:row>
      <xdr:rowOff>1</xdr:rowOff>
    </xdr:to>
    <xdr:graphicFrame macro="">
      <xdr:nvGraphicFramePr>
        <xdr:cNvPr id="3" name="Chart 2">
          <a:extLst>
            <a:ext uri="{FF2B5EF4-FFF2-40B4-BE49-F238E27FC236}">
              <a16:creationId xmlns:a16="http://schemas.microsoft.com/office/drawing/2014/main" id="{3C82B12B-6937-4402-8742-85CB6ADDEC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0.53795</cdr:x>
      <cdr:y>0.08631</cdr:y>
    </cdr:from>
    <cdr:to>
      <cdr:x>0.84598</cdr:x>
      <cdr:y>0.1369</cdr:y>
    </cdr:to>
    <cdr:sp macro="" textlink="">
      <cdr:nvSpPr>
        <cdr:cNvPr id="2" name="TextBox 1"/>
        <cdr:cNvSpPr txBox="1"/>
      </cdr:nvSpPr>
      <cdr:spPr>
        <a:xfrm xmlns:a="http://schemas.openxmlformats.org/drawingml/2006/main">
          <a:off x="2295525" y="276225"/>
          <a:ext cx="1314450"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0.45536</cdr:x>
      <cdr:y>0.18567</cdr:y>
    </cdr:from>
    <cdr:to>
      <cdr:x>0.62277</cdr:x>
      <cdr:y>0.22139</cdr:y>
    </cdr:to>
    <cdr:sp macro="" textlink="">
      <cdr:nvSpPr>
        <cdr:cNvPr id="3" name="TextBox 2"/>
        <cdr:cNvSpPr txBox="1"/>
      </cdr:nvSpPr>
      <cdr:spPr>
        <a:xfrm xmlns:a="http://schemas.openxmlformats.org/drawingml/2006/main">
          <a:off x="1943091" y="604827"/>
          <a:ext cx="714372" cy="116359"/>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tIns="0" rIns="0" bIns="0" rtlCol="0"/>
        <a:lstStyle xmlns:a="http://schemas.openxmlformats.org/drawingml/2006/main"/>
        <a:p xmlns:a="http://schemas.openxmlformats.org/drawingml/2006/main">
          <a:r>
            <a:rPr lang="en-US" sz="700"/>
            <a:t>Pilot and Front Pax</a:t>
          </a:r>
        </a:p>
      </cdr:txBody>
    </cdr:sp>
  </cdr:relSizeAnchor>
  <cdr:relSizeAnchor xmlns:cdr="http://schemas.openxmlformats.org/drawingml/2006/chartDrawing">
    <cdr:from>
      <cdr:x>0.72098</cdr:x>
      <cdr:y>0.11717</cdr:y>
    </cdr:from>
    <cdr:to>
      <cdr:x>0.77232</cdr:x>
      <cdr:y>0.15884</cdr:y>
    </cdr:to>
    <cdr:sp macro="" textlink="">
      <cdr:nvSpPr>
        <cdr:cNvPr id="4" name="TextBox 3"/>
        <cdr:cNvSpPr txBox="1"/>
      </cdr:nvSpPr>
      <cdr:spPr>
        <a:xfrm xmlns:a="http://schemas.openxmlformats.org/drawingml/2006/main">
          <a:off x="3076581" y="381687"/>
          <a:ext cx="219078" cy="135742"/>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lIns="0" tIns="0" rIns="0" bIns="0" rtlCol="0"/>
        <a:lstStyle xmlns:a="http://schemas.openxmlformats.org/drawingml/2006/main"/>
        <a:p xmlns:a="http://schemas.openxmlformats.org/drawingml/2006/main">
          <a:pPr algn="ctr"/>
          <a:r>
            <a:rPr lang="en-US" sz="700"/>
            <a:t>Fuel</a:t>
          </a:r>
          <a:endParaRPr lang="en-US" sz="1100"/>
        </a:p>
      </cdr:txBody>
    </cdr:sp>
  </cdr:relSizeAnchor>
  <cdr:relSizeAnchor xmlns:cdr="http://schemas.openxmlformats.org/drawingml/2006/chartDrawing">
    <cdr:from>
      <cdr:x>0.82589</cdr:x>
      <cdr:y>0.21131</cdr:y>
    </cdr:from>
    <cdr:to>
      <cdr:x>0.93527</cdr:x>
      <cdr:y>0.26488</cdr:y>
    </cdr:to>
    <cdr:sp macro="" textlink="">
      <cdr:nvSpPr>
        <cdr:cNvPr id="5" name="TextBox 4"/>
        <cdr:cNvSpPr txBox="1"/>
      </cdr:nvSpPr>
      <cdr:spPr>
        <a:xfrm xmlns:a="http://schemas.openxmlformats.org/drawingml/2006/main">
          <a:off x="3524251" y="676276"/>
          <a:ext cx="466724" cy="171449"/>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nchor="ctr"/>
        <a:lstStyle xmlns:a="http://schemas.openxmlformats.org/drawingml/2006/main"/>
        <a:p xmlns:a="http://schemas.openxmlformats.org/drawingml/2006/main">
          <a:pPr algn="ctr"/>
          <a:r>
            <a:rPr lang="en-US" sz="700"/>
            <a:t>2nd Row Pax</a:t>
          </a:r>
        </a:p>
      </cdr:txBody>
    </cdr:sp>
  </cdr:relSizeAnchor>
  <cdr:relSizeAnchor xmlns:cdr="http://schemas.openxmlformats.org/drawingml/2006/chartDrawing">
    <cdr:from>
      <cdr:x>0.41741</cdr:x>
      <cdr:y>0.65716</cdr:y>
    </cdr:from>
    <cdr:to>
      <cdr:x>0.51563</cdr:x>
      <cdr:y>0.69883</cdr:y>
    </cdr:to>
    <cdr:sp macro="" textlink="">
      <cdr:nvSpPr>
        <cdr:cNvPr id="6" name="TextBox 5"/>
        <cdr:cNvSpPr txBox="1"/>
      </cdr:nvSpPr>
      <cdr:spPr>
        <a:xfrm xmlns:a="http://schemas.openxmlformats.org/drawingml/2006/main">
          <a:off x="1781166" y="2140744"/>
          <a:ext cx="419124" cy="135742"/>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nchor="ctr"/>
        <a:lstStyle xmlns:a="http://schemas.openxmlformats.org/drawingml/2006/main"/>
        <a:p xmlns:a="http://schemas.openxmlformats.org/drawingml/2006/main">
          <a:pPr algn="ctr"/>
          <a:r>
            <a:rPr lang="en-US" sz="700"/>
            <a:t>Baggage A</a:t>
          </a:r>
        </a:p>
      </cdr:txBody>
    </cdr:sp>
  </cdr:relSizeAnchor>
  <cdr:relSizeAnchor xmlns:cdr="http://schemas.openxmlformats.org/drawingml/2006/chartDrawing">
    <cdr:from>
      <cdr:x>0.38393</cdr:x>
      <cdr:y>0.74561</cdr:y>
    </cdr:from>
    <cdr:to>
      <cdr:x>0.49107</cdr:x>
      <cdr:y>0.79825</cdr:y>
    </cdr:to>
    <cdr:sp macro="" textlink="">
      <cdr:nvSpPr>
        <cdr:cNvPr id="7" name="TextBox 6"/>
        <cdr:cNvSpPr txBox="1"/>
      </cdr:nvSpPr>
      <cdr:spPr>
        <a:xfrm xmlns:a="http://schemas.openxmlformats.org/drawingml/2006/main">
          <a:off x="1638300" y="2428875"/>
          <a:ext cx="457200" cy="1714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horzOverflow="clip" wrap="none" lIns="0" tIns="0" rIns="0" bIns="0" rtlCol="0" anchor="ctr" anchorCtr="0">
          <a:noAutofit/>
        </a:bodyPr>
        <a:lstStyle xmlns:a="http://schemas.openxmlformats.org/drawingml/2006/main"/>
        <a:p xmlns:a="http://schemas.openxmlformats.org/drawingml/2006/main">
          <a:r>
            <a:rPr lang="en-US" sz="700"/>
            <a:t>Baggage C</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9525</xdr:colOff>
      <xdr:row>18</xdr:row>
      <xdr:rowOff>28576</xdr:rowOff>
    </xdr:from>
    <xdr:to>
      <xdr:col>7</xdr:col>
      <xdr:colOff>9525</xdr:colOff>
      <xdr:row>31</xdr:row>
      <xdr:rowOff>447676</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33338</xdr:rowOff>
    </xdr:from>
    <xdr:to>
      <xdr:col>7</xdr:col>
      <xdr:colOff>0</xdr:colOff>
      <xdr:row>18</xdr:row>
      <xdr:rowOff>1</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0.53795</cdr:x>
      <cdr:y>0.08631</cdr:y>
    </cdr:from>
    <cdr:to>
      <cdr:x>0.84598</cdr:x>
      <cdr:y>0.1369</cdr:y>
    </cdr:to>
    <cdr:sp macro="" textlink="">
      <cdr:nvSpPr>
        <cdr:cNvPr id="2" name="TextBox 1"/>
        <cdr:cNvSpPr txBox="1"/>
      </cdr:nvSpPr>
      <cdr:spPr>
        <a:xfrm xmlns:a="http://schemas.openxmlformats.org/drawingml/2006/main">
          <a:off x="2295525" y="276225"/>
          <a:ext cx="1314450"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0.45536</cdr:x>
      <cdr:y>0.18567</cdr:y>
    </cdr:from>
    <cdr:to>
      <cdr:x>0.62277</cdr:x>
      <cdr:y>0.22139</cdr:y>
    </cdr:to>
    <cdr:sp macro="" textlink="">
      <cdr:nvSpPr>
        <cdr:cNvPr id="3" name="TextBox 2"/>
        <cdr:cNvSpPr txBox="1"/>
      </cdr:nvSpPr>
      <cdr:spPr>
        <a:xfrm xmlns:a="http://schemas.openxmlformats.org/drawingml/2006/main">
          <a:off x="1943091" y="604827"/>
          <a:ext cx="714372" cy="116359"/>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tIns="0" rIns="0" bIns="0" rtlCol="0"/>
        <a:lstStyle xmlns:a="http://schemas.openxmlformats.org/drawingml/2006/main"/>
        <a:p xmlns:a="http://schemas.openxmlformats.org/drawingml/2006/main">
          <a:r>
            <a:rPr lang="en-US" sz="700"/>
            <a:t>Pilot and Front Pax</a:t>
          </a:r>
        </a:p>
      </cdr:txBody>
    </cdr:sp>
  </cdr:relSizeAnchor>
  <cdr:relSizeAnchor xmlns:cdr="http://schemas.openxmlformats.org/drawingml/2006/chartDrawing">
    <cdr:from>
      <cdr:x>0.72098</cdr:x>
      <cdr:y>0.11717</cdr:y>
    </cdr:from>
    <cdr:to>
      <cdr:x>0.77232</cdr:x>
      <cdr:y>0.15884</cdr:y>
    </cdr:to>
    <cdr:sp macro="" textlink="">
      <cdr:nvSpPr>
        <cdr:cNvPr id="4" name="TextBox 3"/>
        <cdr:cNvSpPr txBox="1"/>
      </cdr:nvSpPr>
      <cdr:spPr>
        <a:xfrm xmlns:a="http://schemas.openxmlformats.org/drawingml/2006/main">
          <a:off x="3076581" y="381687"/>
          <a:ext cx="219078" cy="135742"/>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lIns="0" tIns="0" rIns="0" bIns="0" rtlCol="0"/>
        <a:lstStyle xmlns:a="http://schemas.openxmlformats.org/drawingml/2006/main"/>
        <a:p xmlns:a="http://schemas.openxmlformats.org/drawingml/2006/main">
          <a:pPr algn="ctr"/>
          <a:r>
            <a:rPr lang="en-US" sz="700"/>
            <a:t>Fuel</a:t>
          </a:r>
          <a:endParaRPr lang="en-US" sz="1100"/>
        </a:p>
      </cdr:txBody>
    </cdr:sp>
  </cdr:relSizeAnchor>
  <cdr:relSizeAnchor xmlns:cdr="http://schemas.openxmlformats.org/drawingml/2006/chartDrawing">
    <cdr:from>
      <cdr:x>0.82589</cdr:x>
      <cdr:y>0.21131</cdr:y>
    </cdr:from>
    <cdr:to>
      <cdr:x>0.93527</cdr:x>
      <cdr:y>0.26488</cdr:y>
    </cdr:to>
    <cdr:sp macro="" textlink="">
      <cdr:nvSpPr>
        <cdr:cNvPr id="5" name="TextBox 4"/>
        <cdr:cNvSpPr txBox="1"/>
      </cdr:nvSpPr>
      <cdr:spPr>
        <a:xfrm xmlns:a="http://schemas.openxmlformats.org/drawingml/2006/main">
          <a:off x="3524251" y="676276"/>
          <a:ext cx="466724" cy="171449"/>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nchor="ctr"/>
        <a:lstStyle xmlns:a="http://schemas.openxmlformats.org/drawingml/2006/main"/>
        <a:p xmlns:a="http://schemas.openxmlformats.org/drawingml/2006/main">
          <a:pPr algn="ctr"/>
          <a:r>
            <a:rPr lang="en-US" sz="700"/>
            <a:t>2nd Row Pax</a:t>
          </a:r>
        </a:p>
      </cdr:txBody>
    </cdr:sp>
  </cdr:relSizeAnchor>
  <cdr:relSizeAnchor xmlns:cdr="http://schemas.openxmlformats.org/drawingml/2006/chartDrawing">
    <cdr:from>
      <cdr:x>0.41741</cdr:x>
      <cdr:y>0.65716</cdr:y>
    </cdr:from>
    <cdr:to>
      <cdr:x>0.51563</cdr:x>
      <cdr:y>0.69883</cdr:y>
    </cdr:to>
    <cdr:sp macro="" textlink="">
      <cdr:nvSpPr>
        <cdr:cNvPr id="6" name="TextBox 5"/>
        <cdr:cNvSpPr txBox="1"/>
      </cdr:nvSpPr>
      <cdr:spPr>
        <a:xfrm xmlns:a="http://schemas.openxmlformats.org/drawingml/2006/main">
          <a:off x="1781166" y="2140744"/>
          <a:ext cx="419124" cy="135742"/>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nchor="ctr"/>
        <a:lstStyle xmlns:a="http://schemas.openxmlformats.org/drawingml/2006/main"/>
        <a:p xmlns:a="http://schemas.openxmlformats.org/drawingml/2006/main">
          <a:pPr algn="ctr"/>
          <a:r>
            <a:rPr lang="en-US" sz="700"/>
            <a:t>Baggage A</a:t>
          </a:r>
        </a:p>
      </cdr:txBody>
    </cdr:sp>
  </cdr:relSizeAnchor>
  <cdr:relSizeAnchor xmlns:cdr="http://schemas.openxmlformats.org/drawingml/2006/chartDrawing">
    <cdr:from>
      <cdr:x>0.38393</cdr:x>
      <cdr:y>0.74561</cdr:y>
    </cdr:from>
    <cdr:to>
      <cdr:x>0.49107</cdr:x>
      <cdr:y>0.79825</cdr:y>
    </cdr:to>
    <cdr:sp macro="" textlink="">
      <cdr:nvSpPr>
        <cdr:cNvPr id="7" name="TextBox 6"/>
        <cdr:cNvSpPr txBox="1"/>
      </cdr:nvSpPr>
      <cdr:spPr>
        <a:xfrm xmlns:a="http://schemas.openxmlformats.org/drawingml/2006/main">
          <a:off x="1638300" y="2428875"/>
          <a:ext cx="457200" cy="1714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horzOverflow="clip" wrap="none" lIns="0" tIns="0" rIns="0" bIns="0" rtlCol="0" anchor="ctr" anchorCtr="0">
          <a:noAutofit/>
        </a:bodyPr>
        <a:lstStyle xmlns:a="http://schemas.openxmlformats.org/drawingml/2006/main"/>
        <a:p xmlns:a="http://schemas.openxmlformats.org/drawingml/2006/main">
          <a:r>
            <a:rPr lang="en-US" sz="700"/>
            <a:t>Baggage C</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18</xdr:row>
      <xdr:rowOff>9525</xdr:rowOff>
    </xdr:from>
    <xdr:to>
      <xdr:col>7</xdr:col>
      <xdr:colOff>0</xdr:colOff>
      <xdr:row>30</xdr:row>
      <xdr:rowOff>314325</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33338</xdr:rowOff>
    </xdr:from>
    <xdr:to>
      <xdr:col>7</xdr:col>
      <xdr:colOff>0</xdr:colOff>
      <xdr:row>18</xdr:row>
      <xdr:rowOff>1</xdr:rowOff>
    </xdr:to>
    <xdr:graphicFrame macro="">
      <xdr:nvGraphicFramePr>
        <xdr:cNvPr id="6" name="Chart 5">
          <a:extLst>
            <a:ext uri="{FF2B5EF4-FFF2-40B4-BE49-F238E27FC236}">
              <a16:creationId xmlns:a16="http://schemas.microsoft.com/office/drawing/2014/main" id="{00000000-0008-0000-07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0.53795</cdr:x>
      <cdr:y>0.08631</cdr:y>
    </cdr:from>
    <cdr:to>
      <cdr:x>0.84598</cdr:x>
      <cdr:y>0.1369</cdr:y>
    </cdr:to>
    <cdr:sp macro="" textlink="">
      <cdr:nvSpPr>
        <cdr:cNvPr id="2" name="TextBox 1"/>
        <cdr:cNvSpPr txBox="1"/>
      </cdr:nvSpPr>
      <cdr:spPr>
        <a:xfrm xmlns:a="http://schemas.openxmlformats.org/drawingml/2006/main">
          <a:off x="2295525" y="276225"/>
          <a:ext cx="1314450"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0.53348</cdr:x>
      <cdr:y>0.08333</cdr:y>
    </cdr:from>
    <cdr:to>
      <cdr:x>0.70089</cdr:x>
      <cdr:y>0.11905</cdr:y>
    </cdr:to>
    <cdr:sp macro="" textlink="">
      <cdr:nvSpPr>
        <cdr:cNvPr id="3" name="TextBox 2"/>
        <cdr:cNvSpPr txBox="1"/>
      </cdr:nvSpPr>
      <cdr:spPr>
        <a:xfrm xmlns:a="http://schemas.openxmlformats.org/drawingml/2006/main">
          <a:off x="2276477" y="266700"/>
          <a:ext cx="714374" cy="1143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tIns="0" rIns="0" bIns="0" rtlCol="0"/>
        <a:lstStyle xmlns:a="http://schemas.openxmlformats.org/drawingml/2006/main"/>
        <a:p xmlns:a="http://schemas.openxmlformats.org/drawingml/2006/main">
          <a:r>
            <a:rPr lang="en-US" sz="700"/>
            <a:t>Pilot and Front Pax</a:t>
          </a:r>
        </a:p>
      </cdr:txBody>
    </cdr:sp>
  </cdr:relSizeAnchor>
  <cdr:relSizeAnchor xmlns:cdr="http://schemas.openxmlformats.org/drawingml/2006/chartDrawing">
    <cdr:from>
      <cdr:x>0.47768</cdr:x>
      <cdr:y>0.34524</cdr:y>
    </cdr:from>
    <cdr:to>
      <cdr:x>0.52902</cdr:x>
      <cdr:y>0.38691</cdr:y>
    </cdr:to>
    <cdr:sp macro="" textlink="">
      <cdr:nvSpPr>
        <cdr:cNvPr id="4" name="TextBox 3"/>
        <cdr:cNvSpPr txBox="1"/>
      </cdr:nvSpPr>
      <cdr:spPr>
        <a:xfrm xmlns:a="http://schemas.openxmlformats.org/drawingml/2006/main">
          <a:off x="2038350" y="1104905"/>
          <a:ext cx="219078" cy="13336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lIns="0" tIns="0" rIns="0" bIns="0" rtlCol="0"/>
        <a:lstStyle xmlns:a="http://schemas.openxmlformats.org/drawingml/2006/main"/>
        <a:p xmlns:a="http://schemas.openxmlformats.org/drawingml/2006/main">
          <a:pPr algn="ctr"/>
          <a:r>
            <a:rPr lang="en-US" sz="700"/>
            <a:t>Fuel</a:t>
          </a:r>
          <a:endParaRPr lang="en-US" sz="1100"/>
        </a:p>
      </cdr:txBody>
    </cdr:sp>
  </cdr:relSizeAnchor>
  <cdr:relSizeAnchor xmlns:cdr="http://schemas.openxmlformats.org/drawingml/2006/chartDrawing">
    <cdr:from>
      <cdr:x>0.82589</cdr:x>
      <cdr:y>0.21131</cdr:y>
    </cdr:from>
    <cdr:to>
      <cdr:x>0.93527</cdr:x>
      <cdr:y>0.26488</cdr:y>
    </cdr:to>
    <cdr:sp macro="" textlink="">
      <cdr:nvSpPr>
        <cdr:cNvPr id="5" name="TextBox 4"/>
        <cdr:cNvSpPr txBox="1"/>
      </cdr:nvSpPr>
      <cdr:spPr>
        <a:xfrm xmlns:a="http://schemas.openxmlformats.org/drawingml/2006/main">
          <a:off x="3524251" y="676276"/>
          <a:ext cx="466724" cy="171449"/>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nchor="ctr"/>
        <a:lstStyle xmlns:a="http://schemas.openxmlformats.org/drawingml/2006/main"/>
        <a:p xmlns:a="http://schemas.openxmlformats.org/drawingml/2006/main">
          <a:pPr algn="ctr"/>
          <a:r>
            <a:rPr lang="en-US" sz="700"/>
            <a:t>2nd Row Pax</a:t>
          </a:r>
        </a:p>
      </cdr:txBody>
    </cdr:sp>
  </cdr:relSizeAnchor>
  <cdr:relSizeAnchor xmlns:cdr="http://schemas.openxmlformats.org/drawingml/2006/chartDrawing">
    <cdr:from>
      <cdr:x>0.40848</cdr:x>
      <cdr:y>0.625</cdr:y>
    </cdr:from>
    <cdr:to>
      <cdr:x>0.5067</cdr:x>
      <cdr:y>0.66667</cdr:y>
    </cdr:to>
    <cdr:sp macro="" textlink="">
      <cdr:nvSpPr>
        <cdr:cNvPr id="6" name="TextBox 5"/>
        <cdr:cNvSpPr txBox="1"/>
      </cdr:nvSpPr>
      <cdr:spPr>
        <a:xfrm xmlns:a="http://schemas.openxmlformats.org/drawingml/2006/main">
          <a:off x="1743076" y="2000250"/>
          <a:ext cx="419100" cy="1333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nchor="ctr"/>
        <a:lstStyle xmlns:a="http://schemas.openxmlformats.org/drawingml/2006/main"/>
        <a:p xmlns:a="http://schemas.openxmlformats.org/drawingml/2006/main">
          <a:pPr algn="ctr"/>
          <a:r>
            <a:rPr lang="en-US" sz="700"/>
            <a:t>Baggage A</a:t>
          </a:r>
        </a:p>
      </cdr:txBody>
    </cdr:sp>
  </cdr:relSizeAnchor>
</c:userShapes>
</file>

<file path=xl/drawings/drawing2.xml><?xml version="1.0" encoding="utf-8"?>
<c:userShapes xmlns:c="http://schemas.openxmlformats.org/drawingml/2006/chart">
  <cdr:relSizeAnchor xmlns:cdr="http://schemas.openxmlformats.org/drawingml/2006/chartDrawing">
    <cdr:from>
      <cdr:x>0.53795</cdr:x>
      <cdr:y>0.08631</cdr:y>
    </cdr:from>
    <cdr:to>
      <cdr:x>0.84598</cdr:x>
      <cdr:y>0.1369</cdr:y>
    </cdr:to>
    <cdr:sp macro="" textlink="">
      <cdr:nvSpPr>
        <cdr:cNvPr id="2" name="TextBox 1"/>
        <cdr:cNvSpPr txBox="1"/>
      </cdr:nvSpPr>
      <cdr:spPr>
        <a:xfrm xmlns:a="http://schemas.openxmlformats.org/drawingml/2006/main">
          <a:off x="2295525" y="276225"/>
          <a:ext cx="1314450"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0.45536</cdr:x>
      <cdr:y>0.18567</cdr:y>
    </cdr:from>
    <cdr:to>
      <cdr:x>0.62277</cdr:x>
      <cdr:y>0.22139</cdr:y>
    </cdr:to>
    <cdr:sp macro="" textlink="">
      <cdr:nvSpPr>
        <cdr:cNvPr id="3" name="TextBox 2"/>
        <cdr:cNvSpPr txBox="1"/>
      </cdr:nvSpPr>
      <cdr:spPr>
        <a:xfrm xmlns:a="http://schemas.openxmlformats.org/drawingml/2006/main">
          <a:off x="1943091" y="604827"/>
          <a:ext cx="714372" cy="116359"/>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tIns="0" rIns="0" bIns="0" rtlCol="0"/>
        <a:lstStyle xmlns:a="http://schemas.openxmlformats.org/drawingml/2006/main"/>
        <a:p xmlns:a="http://schemas.openxmlformats.org/drawingml/2006/main">
          <a:r>
            <a:rPr lang="en-US" sz="700"/>
            <a:t>Pilot and Front Pax</a:t>
          </a:r>
        </a:p>
      </cdr:txBody>
    </cdr:sp>
  </cdr:relSizeAnchor>
  <cdr:relSizeAnchor xmlns:cdr="http://schemas.openxmlformats.org/drawingml/2006/chartDrawing">
    <cdr:from>
      <cdr:x>0.72098</cdr:x>
      <cdr:y>0.11717</cdr:y>
    </cdr:from>
    <cdr:to>
      <cdr:x>0.77232</cdr:x>
      <cdr:y>0.15884</cdr:y>
    </cdr:to>
    <cdr:sp macro="" textlink="">
      <cdr:nvSpPr>
        <cdr:cNvPr id="4" name="TextBox 3"/>
        <cdr:cNvSpPr txBox="1"/>
      </cdr:nvSpPr>
      <cdr:spPr>
        <a:xfrm xmlns:a="http://schemas.openxmlformats.org/drawingml/2006/main">
          <a:off x="3076581" y="381687"/>
          <a:ext cx="219078" cy="135742"/>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lIns="0" tIns="0" rIns="0" bIns="0" rtlCol="0"/>
        <a:lstStyle xmlns:a="http://schemas.openxmlformats.org/drawingml/2006/main"/>
        <a:p xmlns:a="http://schemas.openxmlformats.org/drawingml/2006/main">
          <a:pPr algn="ctr"/>
          <a:r>
            <a:rPr lang="en-US" sz="700"/>
            <a:t>Fuel</a:t>
          </a:r>
          <a:endParaRPr lang="en-US" sz="1100"/>
        </a:p>
      </cdr:txBody>
    </cdr:sp>
  </cdr:relSizeAnchor>
  <cdr:relSizeAnchor xmlns:cdr="http://schemas.openxmlformats.org/drawingml/2006/chartDrawing">
    <cdr:from>
      <cdr:x>0.82589</cdr:x>
      <cdr:y>0.21131</cdr:y>
    </cdr:from>
    <cdr:to>
      <cdr:x>0.93527</cdr:x>
      <cdr:y>0.26488</cdr:y>
    </cdr:to>
    <cdr:sp macro="" textlink="">
      <cdr:nvSpPr>
        <cdr:cNvPr id="5" name="TextBox 4"/>
        <cdr:cNvSpPr txBox="1"/>
      </cdr:nvSpPr>
      <cdr:spPr>
        <a:xfrm xmlns:a="http://schemas.openxmlformats.org/drawingml/2006/main">
          <a:off x="3524251" y="676276"/>
          <a:ext cx="466724" cy="171449"/>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nchor="ctr"/>
        <a:lstStyle xmlns:a="http://schemas.openxmlformats.org/drawingml/2006/main"/>
        <a:p xmlns:a="http://schemas.openxmlformats.org/drawingml/2006/main">
          <a:pPr algn="ctr"/>
          <a:r>
            <a:rPr lang="en-US" sz="700"/>
            <a:t>2nd Row Pax</a:t>
          </a:r>
        </a:p>
      </cdr:txBody>
    </cdr:sp>
  </cdr:relSizeAnchor>
  <cdr:relSizeAnchor xmlns:cdr="http://schemas.openxmlformats.org/drawingml/2006/chartDrawing">
    <cdr:from>
      <cdr:x>0.41741</cdr:x>
      <cdr:y>0.65716</cdr:y>
    </cdr:from>
    <cdr:to>
      <cdr:x>0.51563</cdr:x>
      <cdr:y>0.69883</cdr:y>
    </cdr:to>
    <cdr:sp macro="" textlink="">
      <cdr:nvSpPr>
        <cdr:cNvPr id="6" name="TextBox 5"/>
        <cdr:cNvSpPr txBox="1"/>
      </cdr:nvSpPr>
      <cdr:spPr>
        <a:xfrm xmlns:a="http://schemas.openxmlformats.org/drawingml/2006/main">
          <a:off x="1781166" y="2140744"/>
          <a:ext cx="419124" cy="135742"/>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nchor="ctr"/>
        <a:lstStyle xmlns:a="http://schemas.openxmlformats.org/drawingml/2006/main"/>
        <a:p xmlns:a="http://schemas.openxmlformats.org/drawingml/2006/main">
          <a:pPr algn="ctr"/>
          <a:r>
            <a:rPr lang="en-US" sz="700"/>
            <a:t>Baggage A</a:t>
          </a:r>
        </a:p>
      </cdr:txBody>
    </cdr:sp>
  </cdr:relSizeAnchor>
  <cdr:relSizeAnchor xmlns:cdr="http://schemas.openxmlformats.org/drawingml/2006/chartDrawing">
    <cdr:from>
      <cdr:x>0.38393</cdr:x>
      <cdr:y>0.74561</cdr:y>
    </cdr:from>
    <cdr:to>
      <cdr:x>0.49107</cdr:x>
      <cdr:y>0.79825</cdr:y>
    </cdr:to>
    <cdr:sp macro="" textlink="">
      <cdr:nvSpPr>
        <cdr:cNvPr id="7" name="TextBox 6"/>
        <cdr:cNvSpPr txBox="1"/>
      </cdr:nvSpPr>
      <cdr:spPr>
        <a:xfrm xmlns:a="http://schemas.openxmlformats.org/drawingml/2006/main">
          <a:off x="1638300" y="2428875"/>
          <a:ext cx="457200" cy="1714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horzOverflow="clip" wrap="none" lIns="0" tIns="0" rIns="0" bIns="0" rtlCol="0" anchor="ctr" anchorCtr="0">
          <a:noAutofit/>
        </a:bodyPr>
        <a:lstStyle xmlns:a="http://schemas.openxmlformats.org/drawingml/2006/main"/>
        <a:p xmlns:a="http://schemas.openxmlformats.org/drawingml/2006/main">
          <a:r>
            <a:rPr lang="en-US" sz="700"/>
            <a:t>Baggage C</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18</xdr:row>
      <xdr:rowOff>19050</xdr:rowOff>
    </xdr:from>
    <xdr:to>
      <xdr:col>7</xdr:col>
      <xdr:colOff>0</xdr:colOff>
      <xdr:row>30</xdr:row>
      <xdr:rowOff>304800</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33338</xdr:rowOff>
    </xdr:from>
    <xdr:to>
      <xdr:col>7</xdr:col>
      <xdr:colOff>0</xdr:colOff>
      <xdr:row>18</xdr:row>
      <xdr:rowOff>1</xdr:rowOff>
    </xdr:to>
    <xdr:graphicFrame macro="">
      <xdr:nvGraphicFramePr>
        <xdr:cNvPr id="3" name="Chart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0.53795</cdr:x>
      <cdr:y>0.08631</cdr:y>
    </cdr:from>
    <cdr:to>
      <cdr:x>0.84598</cdr:x>
      <cdr:y>0.1369</cdr:y>
    </cdr:to>
    <cdr:sp macro="" textlink="">
      <cdr:nvSpPr>
        <cdr:cNvPr id="2" name="TextBox 1"/>
        <cdr:cNvSpPr txBox="1"/>
      </cdr:nvSpPr>
      <cdr:spPr>
        <a:xfrm xmlns:a="http://schemas.openxmlformats.org/drawingml/2006/main">
          <a:off x="2295525" y="276225"/>
          <a:ext cx="1314450"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0.53348</cdr:x>
      <cdr:y>0.08333</cdr:y>
    </cdr:from>
    <cdr:to>
      <cdr:x>0.70089</cdr:x>
      <cdr:y>0.11905</cdr:y>
    </cdr:to>
    <cdr:sp macro="" textlink="">
      <cdr:nvSpPr>
        <cdr:cNvPr id="3" name="TextBox 2"/>
        <cdr:cNvSpPr txBox="1"/>
      </cdr:nvSpPr>
      <cdr:spPr>
        <a:xfrm xmlns:a="http://schemas.openxmlformats.org/drawingml/2006/main">
          <a:off x="2276477" y="266700"/>
          <a:ext cx="714374" cy="1143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tIns="0" rIns="0" bIns="0" rtlCol="0"/>
        <a:lstStyle xmlns:a="http://schemas.openxmlformats.org/drawingml/2006/main"/>
        <a:p xmlns:a="http://schemas.openxmlformats.org/drawingml/2006/main">
          <a:r>
            <a:rPr lang="en-US" sz="700"/>
            <a:t>Pilot and Front Pax</a:t>
          </a:r>
        </a:p>
      </cdr:txBody>
    </cdr:sp>
  </cdr:relSizeAnchor>
  <cdr:relSizeAnchor xmlns:cdr="http://schemas.openxmlformats.org/drawingml/2006/chartDrawing">
    <cdr:from>
      <cdr:x>0.47768</cdr:x>
      <cdr:y>0.34524</cdr:y>
    </cdr:from>
    <cdr:to>
      <cdr:x>0.52902</cdr:x>
      <cdr:y>0.38691</cdr:y>
    </cdr:to>
    <cdr:sp macro="" textlink="">
      <cdr:nvSpPr>
        <cdr:cNvPr id="4" name="TextBox 3"/>
        <cdr:cNvSpPr txBox="1"/>
      </cdr:nvSpPr>
      <cdr:spPr>
        <a:xfrm xmlns:a="http://schemas.openxmlformats.org/drawingml/2006/main">
          <a:off x="2038350" y="1104905"/>
          <a:ext cx="219078" cy="13336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lIns="0" tIns="0" rIns="0" bIns="0" rtlCol="0"/>
        <a:lstStyle xmlns:a="http://schemas.openxmlformats.org/drawingml/2006/main"/>
        <a:p xmlns:a="http://schemas.openxmlformats.org/drawingml/2006/main">
          <a:pPr algn="ctr"/>
          <a:r>
            <a:rPr lang="en-US" sz="700"/>
            <a:t>Fuel</a:t>
          </a:r>
          <a:endParaRPr lang="en-US" sz="1100"/>
        </a:p>
      </cdr:txBody>
    </cdr:sp>
  </cdr:relSizeAnchor>
  <cdr:relSizeAnchor xmlns:cdr="http://schemas.openxmlformats.org/drawingml/2006/chartDrawing">
    <cdr:from>
      <cdr:x>0.82589</cdr:x>
      <cdr:y>0.21131</cdr:y>
    </cdr:from>
    <cdr:to>
      <cdr:x>0.93527</cdr:x>
      <cdr:y>0.26488</cdr:y>
    </cdr:to>
    <cdr:sp macro="" textlink="">
      <cdr:nvSpPr>
        <cdr:cNvPr id="5" name="TextBox 4"/>
        <cdr:cNvSpPr txBox="1"/>
      </cdr:nvSpPr>
      <cdr:spPr>
        <a:xfrm xmlns:a="http://schemas.openxmlformats.org/drawingml/2006/main">
          <a:off x="3524251" y="676276"/>
          <a:ext cx="466724" cy="171449"/>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nchor="ctr"/>
        <a:lstStyle xmlns:a="http://schemas.openxmlformats.org/drawingml/2006/main"/>
        <a:p xmlns:a="http://schemas.openxmlformats.org/drawingml/2006/main">
          <a:pPr algn="ctr"/>
          <a:r>
            <a:rPr lang="en-US" sz="700"/>
            <a:t>2nd Row Pax</a:t>
          </a:r>
        </a:p>
      </cdr:txBody>
    </cdr:sp>
  </cdr:relSizeAnchor>
  <cdr:relSizeAnchor xmlns:cdr="http://schemas.openxmlformats.org/drawingml/2006/chartDrawing">
    <cdr:from>
      <cdr:x>0.40848</cdr:x>
      <cdr:y>0.625</cdr:y>
    </cdr:from>
    <cdr:to>
      <cdr:x>0.5067</cdr:x>
      <cdr:y>0.66667</cdr:y>
    </cdr:to>
    <cdr:sp macro="" textlink="">
      <cdr:nvSpPr>
        <cdr:cNvPr id="6" name="TextBox 5"/>
        <cdr:cNvSpPr txBox="1"/>
      </cdr:nvSpPr>
      <cdr:spPr>
        <a:xfrm xmlns:a="http://schemas.openxmlformats.org/drawingml/2006/main">
          <a:off x="1743076" y="2000250"/>
          <a:ext cx="419100" cy="1333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nchor="ctr"/>
        <a:lstStyle xmlns:a="http://schemas.openxmlformats.org/drawingml/2006/main"/>
        <a:p xmlns:a="http://schemas.openxmlformats.org/drawingml/2006/main">
          <a:pPr algn="ctr"/>
          <a:r>
            <a:rPr lang="en-US" sz="700"/>
            <a:t>Baggage A</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18</xdr:row>
      <xdr:rowOff>19051</xdr:rowOff>
    </xdr:from>
    <xdr:to>
      <xdr:col>7</xdr:col>
      <xdr:colOff>0</xdr:colOff>
      <xdr:row>33</xdr:row>
      <xdr:rowOff>1</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33338</xdr:rowOff>
    </xdr:from>
    <xdr:to>
      <xdr:col>7</xdr:col>
      <xdr:colOff>0</xdr:colOff>
      <xdr:row>18</xdr:row>
      <xdr:rowOff>1</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0.53795</cdr:x>
      <cdr:y>0.08631</cdr:y>
    </cdr:from>
    <cdr:to>
      <cdr:x>0.84598</cdr:x>
      <cdr:y>0.1369</cdr:y>
    </cdr:to>
    <cdr:sp macro="" textlink="">
      <cdr:nvSpPr>
        <cdr:cNvPr id="2" name="TextBox 1"/>
        <cdr:cNvSpPr txBox="1"/>
      </cdr:nvSpPr>
      <cdr:spPr>
        <a:xfrm xmlns:a="http://schemas.openxmlformats.org/drawingml/2006/main">
          <a:off x="2295525" y="276225"/>
          <a:ext cx="1314450"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0.26339</cdr:x>
      <cdr:y>0.06166</cdr:y>
    </cdr:from>
    <cdr:to>
      <cdr:x>0.4308</cdr:x>
      <cdr:y>0.09738</cdr:y>
    </cdr:to>
    <cdr:sp macro="" textlink="">
      <cdr:nvSpPr>
        <cdr:cNvPr id="3" name="TextBox 2"/>
        <cdr:cNvSpPr txBox="1"/>
      </cdr:nvSpPr>
      <cdr:spPr>
        <a:xfrm xmlns:a="http://schemas.openxmlformats.org/drawingml/2006/main">
          <a:off x="1123956" y="189696"/>
          <a:ext cx="714372" cy="10989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tIns="0" rIns="0" bIns="0" rtlCol="0"/>
        <a:lstStyle xmlns:a="http://schemas.openxmlformats.org/drawingml/2006/main"/>
        <a:p xmlns:a="http://schemas.openxmlformats.org/drawingml/2006/main">
          <a:r>
            <a:rPr lang="en-US" sz="700"/>
            <a:t>Pilot and Front Pax</a:t>
          </a:r>
        </a:p>
      </cdr:txBody>
    </cdr:sp>
  </cdr:relSizeAnchor>
  <cdr:relSizeAnchor xmlns:cdr="http://schemas.openxmlformats.org/drawingml/2006/chartDrawing">
    <cdr:from>
      <cdr:x>0.40848</cdr:x>
      <cdr:y>0.1471</cdr:y>
    </cdr:from>
    <cdr:to>
      <cdr:x>0.45982</cdr:x>
      <cdr:y>0.18877</cdr:y>
    </cdr:to>
    <cdr:sp macro="" textlink="">
      <cdr:nvSpPr>
        <cdr:cNvPr id="4" name="TextBox 3"/>
        <cdr:cNvSpPr txBox="1"/>
      </cdr:nvSpPr>
      <cdr:spPr>
        <a:xfrm xmlns:a="http://schemas.openxmlformats.org/drawingml/2006/main">
          <a:off x="1743060" y="452556"/>
          <a:ext cx="219078" cy="1282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lIns="0" tIns="0" rIns="0" bIns="0" rtlCol="0"/>
        <a:lstStyle xmlns:a="http://schemas.openxmlformats.org/drawingml/2006/main"/>
        <a:p xmlns:a="http://schemas.openxmlformats.org/drawingml/2006/main">
          <a:pPr algn="ctr"/>
          <a:r>
            <a:rPr lang="en-US" sz="700"/>
            <a:t>Fuel</a:t>
          </a:r>
          <a:endParaRPr lang="en-US" sz="1100"/>
        </a:p>
      </cdr:txBody>
    </cdr:sp>
  </cdr:relSizeAnchor>
  <cdr:relSizeAnchor xmlns:cdr="http://schemas.openxmlformats.org/drawingml/2006/chartDrawing">
    <cdr:from>
      <cdr:x>0.48661</cdr:x>
      <cdr:y>0.0596</cdr:y>
    </cdr:from>
    <cdr:to>
      <cdr:x>0.59598</cdr:x>
      <cdr:y>0.09597</cdr:y>
    </cdr:to>
    <cdr:sp macro="" textlink="">
      <cdr:nvSpPr>
        <cdr:cNvPr id="5" name="TextBox 4"/>
        <cdr:cNvSpPr txBox="1"/>
      </cdr:nvSpPr>
      <cdr:spPr>
        <a:xfrm xmlns:a="http://schemas.openxmlformats.org/drawingml/2006/main">
          <a:off x="2076441" y="183376"/>
          <a:ext cx="466746" cy="11189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nchor="ctr"/>
        <a:lstStyle xmlns:a="http://schemas.openxmlformats.org/drawingml/2006/main"/>
        <a:p xmlns:a="http://schemas.openxmlformats.org/drawingml/2006/main">
          <a:pPr algn="ctr"/>
          <a:r>
            <a:rPr lang="en-US" sz="700"/>
            <a:t>2nd Row Pax</a:t>
          </a:r>
        </a:p>
      </cdr:txBody>
    </cdr:sp>
  </cdr:relSizeAnchor>
  <cdr:relSizeAnchor xmlns:cdr="http://schemas.openxmlformats.org/drawingml/2006/chartDrawing">
    <cdr:from>
      <cdr:x>0.52679</cdr:x>
      <cdr:y>0.50117</cdr:y>
    </cdr:from>
    <cdr:to>
      <cdr:x>0.62501</cdr:x>
      <cdr:y>0.54284</cdr:y>
    </cdr:to>
    <cdr:sp macro="" textlink="">
      <cdr:nvSpPr>
        <cdr:cNvPr id="6" name="TextBox 5"/>
        <cdr:cNvSpPr txBox="1"/>
      </cdr:nvSpPr>
      <cdr:spPr>
        <a:xfrm xmlns:a="http://schemas.openxmlformats.org/drawingml/2006/main">
          <a:off x="2247906" y="1541872"/>
          <a:ext cx="419124" cy="12820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nchor="ctr"/>
        <a:lstStyle xmlns:a="http://schemas.openxmlformats.org/drawingml/2006/main"/>
        <a:p xmlns:a="http://schemas.openxmlformats.org/drawingml/2006/main">
          <a:pPr algn="ctr"/>
          <a:r>
            <a:rPr lang="en-US" sz="700"/>
            <a:t>Baggage A</a:t>
          </a:r>
        </a:p>
      </cdr:txBody>
    </cdr:sp>
  </cdr:relSizeAnchor>
  <cdr:relSizeAnchor xmlns:cdr="http://schemas.openxmlformats.org/drawingml/2006/chartDrawing">
    <cdr:from>
      <cdr:x>0.64584</cdr:x>
      <cdr:y>0.06295</cdr:y>
    </cdr:from>
    <cdr:to>
      <cdr:x>0.75522</cdr:x>
      <cdr:y>0.10216</cdr:y>
    </cdr:to>
    <cdr:sp macro="" textlink="">
      <cdr:nvSpPr>
        <cdr:cNvPr id="7" name="TextBox 1"/>
        <cdr:cNvSpPr txBox="1"/>
      </cdr:nvSpPr>
      <cdr:spPr>
        <a:xfrm xmlns:a="http://schemas.openxmlformats.org/drawingml/2006/main">
          <a:off x="2755913" y="193683"/>
          <a:ext cx="466747" cy="120632"/>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00"/>
            <a:t>3rd Row Pax</a:t>
          </a:r>
        </a:p>
      </cdr:txBody>
    </cdr:sp>
  </cdr:relSizeAnchor>
  <cdr:relSizeAnchor xmlns:cdr="http://schemas.openxmlformats.org/drawingml/2006/chartDrawing">
    <cdr:from>
      <cdr:x>0.79762</cdr:x>
      <cdr:y>0.06295</cdr:y>
    </cdr:from>
    <cdr:to>
      <cdr:x>0.907</cdr:x>
      <cdr:y>0.10526</cdr:y>
    </cdr:to>
    <cdr:sp macro="" textlink="">
      <cdr:nvSpPr>
        <cdr:cNvPr id="8" name="TextBox 1"/>
        <cdr:cNvSpPr txBox="1"/>
      </cdr:nvSpPr>
      <cdr:spPr>
        <a:xfrm xmlns:a="http://schemas.openxmlformats.org/drawingml/2006/main">
          <a:off x="3403600" y="193675"/>
          <a:ext cx="466746" cy="130174"/>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00"/>
            <a:t>4th Row Pax</a:t>
          </a:r>
        </a:p>
      </cdr:txBody>
    </cdr:sp>
  </cdr:relSizeAnchor>
  <cdr:relSizeAnchor xmlns:cdr="http://schemas.openxmlformats.org/drawingml/2006/chartDrawing">
    <cdr:from>
      <cdr:x>0.25074</cdr:x>
      <cdr:y>0.74407</cdr:y>
    </cdr:from>
    <cdr:to>
      <cdr:x>0.36012</cdr:x>
      <cdr:y>0.78328</cdr:y>
    </cdr:to>
    <cdr:sp macro="" textlink="">
      <cdr:nvSpPr>
        <cdr:cNvPr id="13" name="TextBox 1"/>
        <cdr:cNvSpPr txBox="1"/>
      </cdr:nvSpPr>
      <cdr:spPr>
        <a:xfrm xmlns:a="http://schemas.openxmlformats.org/drawingml/2006/main">
          <a:off x="1069975" y="2289175"/>
          <a:ext cx="466746" cy="120649"/>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00"/>
            <a:t>Baggage</a:t>
          </a:r>
          <a:r>
            <a:rPr lang="en-US" sz="700" baseline="0"/>
            <a:t> B</a:t>
          </a:r>
          <a:endParaRPr lang="en-US" sz="700"/>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18</xdr:row>
      <xdr:rowOff>9525</xdr:rowOff>
    </xdr:from>
    <xdr:to>
      <xdr:col>7</xdr:col>
      <xdr:colOff>0</xdr:colOff>
      <xdr:row>30</xdr:row>
      <xdr:rowOff>314325</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33338</xdr:rowOff>
    </xdr:from>
    <xdr:to>
      <xdr:col>7</xdr:col>
      <xdr:colOff>0</xdr:colOff>
      <xdr:row>18</xdr:row>
      <xdr:rowOff>1</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0.53795</cdr:x>
      <cdr:y>0.08631</cdr:y>
    </cdr:from>
    <cdr:to>
      <cdr:x>0.84598</cdr:x>
      <cdr:y>0.1369</cdr:y>
    </cdr:to>
    <cdr:sp macro="" textlink="">
      <cdr:nvSpPr>
        <cdr:cNvPr id="2" name="TextBox 1"/>
        <cdr:cNvSpPr txBox="1"/>
      </cdr:nvSpPr>
      <cdr:spPr>
        <a:xfrm xmlns:a="http://schemas.openxmlformats.org/drawingml/2006/main">
          <a:off x="2295525" y="276225"/>
          <a:ext cx="1314450"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0.53348</cdr:x>
      <cdr:y>0.08333</cdr:y>
    </cdr:from>
    <cdr:to>
      <cdr:x>0.70089</cdr:x>
      <cdr:y>0.11905</cdr:y>
    </cdr:to>
    <cdr:sp macro="" textlink="">
      <cdr:nvSpPr>
        <cdr:cNvPr id="3" name="TextBox 2"/>
        <cdr:cNvSpPr txBox="1"/>
      </cdr:nvSpPr>
      <cdr:spPr>
        <a:xfrm xmlns:a="http://schemas.openxmlformats.org/drawingml/2006/main">
          <a:off x="2276477" y="266700"/>
          <a:ext cx="714374" cy="1143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tIns="0" rIns="0" bIns="0" rtlCol="0"/>
        <a:lstStyle xmlns:a="http://schemas.openxmlformats.org/drawingml/2006/main"/>
        <a:p xmlns:a="http://schemas.openxmlformats.org/drawingml/2006/main">
          <a:r>
            <a:rPr lang="en-US" sz="700"/>
            <a:t>Pilot and Front Pax</a:t>
          </a:r>
        </a:p>
      </cdr:txBody>
    </cdr:sp>
  </cdr:relSizeAnchor>
  <cdr:relSizeAnchor xmlns:cdr="http://schemas.openxmlformats.org/drawingml/2006/chartDrawing">
    <cdr:from>
      <cdr:x>0.47768</cdr:x>
      <cdr:y>0.34524</cdr:y>
    </cdr:from>
    <cdr:to>
      <cdr:x>0.52902</cdr:x>
      <cdr:y>0.38691</cdr:y>
    </cdr:to>
    <cdr:sp macro="" textlink="">
      <cdr:nvSpPr>
        <cdr:cNvPr id="4" name="TextBox 3"/>
        <cdr:cNvSpPr txBox="1"/>
      </cdr:nvSpPr>
      <cdr:spPr>
        <a:xfrm xmlns:a="http://schemas.openxmlformats.org/drawingml/2006/main">
          <a:off x="2038350" y="1104905"/>
          <a:ext cx="219078" cy="13336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lIns="0" tIns="0" rIns="0" bIns="0" rtlCol="0"/>
        <a:lstStyle xmlns:a="http://schemas.openxmlformats.org/drawingml/2006/main"/>
        <a:p xmlns:a="http://schemas.openxmlformats.org/drawingml/2006/main">
          <a:pPr algn="ctr"/>
          <a:r>
            <a:rPr lang="en-US" sz="700"/>
            <a:t>Fuel</a:t>
          </a:r>
          <a:endParaRPr lang="en-US" sz="1100"/>
        </a:p>
      </cdr:txBody>
    </cdr:sp>
  </cdr:relSizeAnchor>
  <cdr:relSizeAnchor xmlns:cdr="http://schemas.openxmlformats.org/drawingml/2006/chartDrawing">
    <cdr:from>
      <cdr:x>0.82589</cdr:x>
      <cdr:y>0.21131</cdr:y>
    </cdr:from>
    <cdr:to>
      <cdr:x>0.93527</cdr:x>
      <cdr:y>0.26488</cdr:y>
    </cdr:to>
    <cdr:sp macro="" textlink="">
      <cdr:nvSpPr>
        <cdr:cNvPr id="5" name="TextBox 4"/>
        <cdr:cNvSpPr txBox="1"/>
      </cdr:nvSpPr>
      <cdr:spPr>
        <a:xfrm xmlns:a="http://schemas.openxmlformats.org/drawingml/2006/main">
          <a:off x="3524251" y="676276"/>
          <a:ext cx="466724" cy="171449"/>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nchor="ctr"/>
        <a:lstStyle xmlns:a="http://schemas.openxmlformats.org/drawingml/2006/main"/>
        <a:p xmlns:a="http://schemas.openxmlformats.org/drawingml/2006/main">
          <a:pPr algn="ctr"/>
          <a:r>
            <a:rPr lang="en-US" sz="700"/>
            <a:t>2nd Row Pax</a:t>
          </a:r>
        </a:p>
      </cdr:txBody>
    </cdr:sp>
  </cdr:relSizeAnchor>
  <cdr:relSizeAnchor xmlns:cdr="http://schemas.openxmlformats.org/drawingml/2006/chartDrawing">
    <cdr:from>
      <cdr:x>0.40848</cdr:x>
      <cdr:y>0.625</cdr:y>
    </cdr:from>
    <cdr:to>
      <cdr:x>0.5067</cdr:x>
      <cdr:y>0.66667</cdr:y>
    </cdr:to>
    <cdr:sp macro="" textlink="">
      <cdr:nvSpPr>
        <cdr:cNvPr id="6" name="TextBox 5"/>
        <cdr:cNvSpPr txBox="1"/>
      </cdr:nvSpPr>
      <cdr:spPr>
        <a:xfrm xmlns:a="http://schemas.openxmlformats.org/drawingml/2006/main">
          <a:off x="1743076" y="2000250"/>
          <a:ext cx="419100" cy="1333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nchor="ctr"/>
        <a:lstStyle xmlns:a="http://schemas.openxmlformats.org/drawingml/2006/main"/>
        <a:p xmlns:a="http://schemas.openxmlformats.org/drawingml/2006/main">
          <a:pPr algn="ctr"/>
          <a:r>
            <a:rPr lang="en-US" sz="700"/>
            <a:t>Baggage A</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9525</xdr:colOff>
      <xdr:row>18</xdr:row>
      <xdr:rowOff>28575</xdr:rowOff>
    </xdr:from>
    <xdr:to>
      <xdr:col>7</xdr:col>
      <xdr:colOff>9525</xdr:colOff>
      <xdr:row>31</xdr:row>
      <xdr:rowOff>428624</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33338</xdr:rowOff>
    </xdr:from>
    <xdr:to>
      <xdr:col>7</xdr:col>
      <xdr:colOff>0</xdr:colOff>
      <xdr:row>18</xdr:row>
      <xdr:rowOff>1</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45"/>
  <sheetViews>
    <sheetView workbookViewId="0">
      <selection activeCell="N2" sqref="N2"/>
    </sheetView>
  </sheetViews>
  <sheetFormatPr defaultRowHeight="15" x14ac:dyDescent="0.25"/>
  <cols>
    <col min="8" max="8" width="2.85546875" customWidth="1"/>
    <col min="9" max="9" width="6.28515625" customWidth="1"/>
    <col min="10" max="10" width="15.7109375" customWidth="1"/>
    <col min="11" max="11" width="9.5703125" customWidth="1"/>
    <col min="12" max="12" width="8.5703125" customWidth="1"/>
    <col min="13" max="13" width="8.42578125" customWidth="1"/>
    <col min="14" max="14" width="8.5703125" customWidth="1"/>
    <col min="15" max="15" width="9.7109375" customWidth="1"/>
  </cols>
  <sheetData>
    <row r="1" spans="1:15" ht="39.950000000000003" customHeight="1" thickBot="1" x14ac:dyDescent="0.75">
      <c r="A1" s="55" t="s">
        <v>89</v>
      </c>
      <c r="B1" s="56"/>
      <c r="C1" s="56"/>
      <c r="D1" s="56"/>
      <c r="E1" s="56"/>
      <c r="F1" s="57" t="s">
        <v>13</v>
      </c>
      <c r="G1" s="58"/>
      <c r="H1" s="1"/>
      <c r="I1" s="25" t="s">
        <v>90</v>
      </c>
      <c r="J1" s="1"/>
      <c r="L1" s="59" t="s">
        <v>48</v>
      </c>
      <c r="M1" s="59"/>
      <c r="N1" s="60">
        <f>Stats_Cessna!E7</f>
        <v>45135</v>
      </c>
      <c r="O1" s="60"/>
    </row>
    <row r="2" spans="1:15" ht="15.75" thickTop="1" x14ac:dyDescent="0.25">
      <c r="A2" s="76"/>
      <c r="B2" s="77"/>
      <c r="C2" s="77"/>
      <c r="D2" s="77"/>
      <c r="E2" s="77"/>
      <c r="F2" s="77"/>
      <c r="G2" s="78"/>
      <c r="I2" s="13" t="s">
        <v>49</v>
      </c>
      <c r="J2" s="14"/>
      <c r="K2" s="14"/>
      <c r="L2" s="14"/>
      <c r="M2" s="14"/>
      <c r="N2" s="14">
        <f>Stats_Cessna!F7</f>
        <v>3110</v>
      </c>
      <c r="O2" s="15" t="s">
        <v>58</v>
      </c>
    </row>
    <row r="3" spans="1:15" x14ac:dyDescent="0.25">
      <c r="I3" s="8" t="s">
        <v>50</v>
      </c>
      <c r="N3">
        <f>Stats_Cessna!G7</f>
        <v>3100</v>
      </c>
      <c r="O3" s="9" t="s">
        <v>58</v>
      </c>
    </row>
    <row r="4" spans="1:15" x14ac:dyDescent="0.25">
      <c r="I4" s="16" t="s">
        <v>51</v>
      </c>
      <c r="J4" s="17"/>
      <c r="K4" s="17"/>
      <c r="L4" s="17"/>
      <c r="M4" s="17"/>
      <c r="N4" s="17">
        <f>Stats_Cessna!H7</f>
        <v>2950</v>
      </c>
      <c r="O4" s="18" t="s">
        <v>58</v>
      </c>
    </row>
    <row r="5" spans="1:15" x14ac:dyDescent="0.25">
      <c r="I5" s="8" t="s">
        <v>52</v>
      </c>
      <c r="N5">
        <f>Stats_Cessna!I7</f>
        <v>2030.97</v>
      </c>
      <c r="O5" s="9" t="s">
        <v>58</v>
      </c>
    </row>
    <row r="6" spans="1:15" x14ac:dyDescent="0.25">
      <c r="I6" s="16" t="s">
        <v>55</v>
      </c>
      <c r="J6" s="17"/>
      <c r="K6" s="17"/>
      <c r="L6" s="17"/>
      <c r="M6" s="17"/>
      <c r="N6" s="17">
        <f>Stats_Cessna!K7</f>
        <v>80329.240000000005</v>
      </c>
      <c r="O6" s="18" t="s">
        <v>59</v>
      </c>
    </row>
    <row r="7" spans="1:15" x14ac:dyDescent="0.25">
      <c r="I7" s="8" t="s">
        <v>56</v>
      </c>
      <c r="N7">
        <f>Stats_Cessna!J7</f>
        <v>39.549999999999997</v>
      </c>
      <c r="O7" s="9" t="s">
        <v>60</v>
      </c>
    </row>
    <row r="8" spans="1:15" x14ac:dyDescent="0.25">
      <c r="I8" s="16" t="s">
        <v>53</v>
      </c>
      <c r="J8" s="17"/>
      <c r="K8" s="17"/>
      <c r="L8" s="17"/>
      <c r="M8" s="17"/>
      <c r="N8" s="17">
        <f>N2-N5</f>
        <v>1079.03</v>
      </c>
      <c r="O8" s="18" t="s">
        <v>58</v>
      </c>
    </row>
    <row r="9" spans="1:15" x14ac:dyDescent="0.25">
      <c r="I9" s="8" t="s">
        <v>54</v>
      </c>
      <c r="N9">
        <f>N8-(N10*6)</f>
        <v>557.03</v>
      </c>
      <c r="O9" s="9" t="s">
        <v>58</v>
      </c>
    </row>
    <row r="10" spans="1:15" x14ac:dyDescent="0.25">
      <c r="I10" s="16" t="s">
        <v>57</v>
      </c>
      <c r="J10" s="17"/>
      <c r="K10" s="17"/>
      <c r="L10" s="17"/>
      <c r="M10" s="17"/>
      <c r="N10" s="17">
        <f>Stats_Cessna!M7</f>
        <v>87</v>
      </c>
      <c r="O10" s="18" t="s">
        <v>61</v>
      </c>
    </row>
    <row r="11" spans="1:15" ht="15.75" thickBot="1" x14ac:dyDescent="0.3">
      <c r="I11" s="10" t="s">
        <v>81</v>
      </c>
      <c r="J11" s="11"/>
      <c r="K11" s="11"/>
      <c r="L11" s="11"/>
      <c r="M11" s="11"/>
      <c r="N11" s="11">
        <f>Stats_Cessna!L7</f>
        <v>44</v>
      </c>
      <c r="O11" s="12" t="s">
        <v>58</v>
      </c>
    </row>
    <row r="12" spans="1:15" ht="15.75" thickTop="1" x14ac:dyDescent="0.25"/>
    <row r="13" spans="1:15" x14ac:dyDescent="0.25">
      <c r="I13" s="53" t="s">
        <v>62</v>
      </c>
      <c r="J13" s="53"/>
      <c r="K13" s="53"/>
      <c r="L13" s="53"/>
      <c r="M13" s="53"/>
      <c r="N13" s="53"/>
      <c r="O13" s="53"/>
    </row>
    <row r="14" spans="1:15" x14ac:dyDescent="0.25">
      <c r="I14" s="54"/>
      <c r="J14" s="54"/>
      <c r="K14" s="54"/>
      <c r="L14" s="54"/>
      <c r="M14" s="54"/>
      <c r="N14" s="54"/>
      <c r="O14" s="54"/>
    </row>
    <row r="15" spans="1:15" ht="30" x14ac:dyDescent="0.25">
      <c r="I15" s="64" t="s">
        <v>63</v>
      </c>
      <c r="J15" s="65"/>
      <c r="K15" s="65"/>
      <c r="L15" s="65"/>
      <c r="M15" s="19" t="s">
        <v>46</v>
      </c>
      <c r="N15" s="19" t="s">
        <v>47</v>
      </c>
      <c r="O15" s="19" t="s">
        <v>82</v>
      </c>
    </row>
    <row r="16" spans="1:15" ht="17.100000000000001" customHeight="1" thickBot="1" x14ac:dyDescent="0.3">
      <c r="I16" s="20" t="s">
        <v>52</v>
      </c>
      <c r="J16" s="21"/>
      <c r="K16" s="21"/>
      <c r="L16" s="28"/>
      <c r="M16" s="22">
        <f>N7</f>
        <v>39.549999999999997</v>
      </c>
      <c r="N16" s="27">
        <f>N5</f>
        <v>2030.97</v>
      </c>
      <c r="O16" s="23">
        <f>N6/1000</f>
        <v>80.329239999999999</v>
      </c>
    </row>
    <row r="17" spans="1:15" ht="17.100000000000001" customHeight="1" thickTop="1" thickBot="1" x14ac:dyDescent="0.3">
      <c r="I17" s="20" t="s">
        <v>64</v>
      </c>
      <c r="J17" s="21"/>
      <c r="K17" s="28"/>
      <c r="L17" s="30">
        <v>66</v>
      </c>
      <c r="M17" s="26">
        <f>Stats_Cessna!O7</f>
        <v>46.5</v>
      </c>
      <c r="N17" s="27">
        <f>IF(ISBLANK(L17),"",$L17*6)</f>
        <v>396</v>
      </c>
      <c r="O17" s="23">
        <f>IF(ISBLANK(L17),"",($N17*$M17/1000))</f>
        <v>18.414000000000001</v>
      </c>
    </row>
    <row r="18" spans="1:15" ht="17.100000000000001" customHeight="1" thickTop="1" thickBot="1" x14ac:dyDescent="0.3">
      <c r="I18" s="20" t="s">
        <v>65</v>
      </c>
      <c r="J18" s="21"/>
      <c r="K18" s="30">
        <v>250</v>
      </c>
      <c r="L18" s="30">
        <v>200</v>
      </c>
      <c r="M18" s="26">
        <f>Stats_Cessna!P7</f>
        <v>37</v>
      </c>
      <c r="N18" s="27">
        <f>IF(AND(ISBLANK(K18),ISBLANK(L18)),"",$K18+$L18)</f>
        <v>450</v>
      </c>
      <c r="O18" s="23">
        <f>IF(AND(ISBLANK(K18),ISBLANK(L18)),"",($N18*$M18/1000))</f>
        <v>16.649999999999999</v>
      </c>
    </row>
    <row r="19" spans="1:15" ht="17.100000000000001" customHeight="1" thickTop="1" thickBot="1" x14ac:dyDescent="0.3">
      <c r="I19" s="20" t="s">
        <v>66</v>
      </c>
      <c r="J19" s="21"/>
      <c r="K19" s="30">
        <v>10</v>
      </c>
      <c r="L19" s="30">
        <v>10</v>
      </c>
      <c r="M19" s="26">
        <f>Stats_Cessna!Q7</f>
        <v>74</v>
      </c>
      <c r="N19" s="27">
        <f>IF(AND(ISBLANK(K19),ISBLANK(L19)),"",$K19+$L19)</f>
        <v>20</v>
      </c>
      <c r="O19" s="23">
        <f>IF(AND(ISBLANK(K19),ISBLANK(L19)),"",($N19*$M19/1000))</f>
        <v>1.48</v>
      </c>
    </row>
    <row r="20" spans="1:15" ht="17.100000000000001" customHeight="1" thickTop="1" thickBot="1" x14ac:dyDescent="0.3">
      <c r="I20" s="20" t="s">
        <v>67</v>
      </c>
      <c r="J20" s="21"/>
      <c r="K20" s="29"/>
      <c r="L20" s="30"/>
      <c r="M20" s="26">
        <f>Stats_Cessna!R7</f>
        <v>97</v>
      </c>
      <c r="N20" s="27" t="str">
        <f>IF(ISBLANK(L20),"",$L20)</f>
        <v/>
      </c>
      <c r="O20" s="23" t="str">
        <f>IF(ISBLANK(L20),"",($N20*$M20/1000))</f>
        <v/>
      </c>
    </row>
    <row r="21" spans="1:15" ht="17.100000000000001" customHeight="1" thickTop="1" thickBot="1" x14ac:dyDescent="0.3">
      <c r="I21" s="20" t="s">
        <v>68</v>
      </c>
      <c r="J21" s="21"/>
      <c r="K21" s="21"/>
      <c r="L21" s="30">
        <v>44</v>
      </c>
      <c r="M21" s="26">
        <f>Stats_Cessna!S7</f>
        <v>116</v>
      </c>
      <c r="N21" s="31">
        <f>IF(ISBLANK(L21),"",$L21)</f>
        <v>44</v>
      </c>
      <c r="O21" s="32">
        <f>IF(ISBLANK(L21),"",($N21*$M21/1000))</f>
        <v>5.1040000000000001</v>
      </c>
    </row>
    <row r="22" spans="1:15" ht="17.100000000000001" customHeight="1" thickTop="1" thickBot="1" x14ac:dyDescent="0.3">
      <c r="I22" s="66" t="s">
        <v>85</v>
      </c>
      <c r="J22" s="67"/>
      <c r="K22" s="21"/>
      <c r="L22" s="30"/>
      <c r="M22" s="26">
        <f>Stats_Cessna!T7</f>
        <v>129</v>
      </c>
      <c r="N22" s="31" t="str">
        <f>IF(ISBLANK(L22),"",$L22)</f>
        <v/>
      </c>
      <c r="O22" s="32" t="str">
        <f>IF(ISBLANK(L22),"",($N22*$M22/1000))</f>
        <v/>
      </c>
    </row>
    <row r="23" spans="1:15" ht="17.100000000000001" customHeight="1" thickTop="1" x14ac:dyDescent="0.25">
      <c r="I23" s="24" t="s">
        <v>69</v>
      </c>
      <c r="J23" s="21"/>
      <c r="K23" s="21"/>
      <c r="L23" s="29"/>
      <c r="M23" s="21"/>
      <c r="N23" s="27">
        <f>IF(SUM(N17:N22)=0,"",SUM(N16:N22))</f>
        <v>2940.9700000000003</v>
      </c>
      <c r="O23" s="23">
        <f>IF(SUM(O17:O21)=0,"",SUM(O16:O21))</f>
        <v>121.97723999999999</v>
      </c>
    </row>
    <row r="24" spans="1:15" ht="17.100000000000001" customHeight="1" thickBot="1" x14ac:dyDescent="0.3">
      <c r="I24" s="20" t="s">
        <v>70</v>
      </c>
      <c r="J24" s="21"/>
      <c r="K24" s="21"/>
      <c r="L24" s="21"/>
      <c r="M24" s="26"/>
      <c r="N24" s="35">
        <v>-10</v>
      </c>
      <c r="O24" s="36">
        <f>N24*M17/1000</f>
        <v>-0.46500000000000002</v>
      </c>
    </row>
    <row r="25" spans="1:15" ht="17.100000000000001" customHeight="1" thickTop="1" thickBot="1" x14ac:dyDescent="0.3">
      <c r="I25" s="24" t="s">
        <v>76</v>
      </c>
      <c r="J25" s="21"/>
      <c r="K25" s="21"/>
      <c r="L25" s="21"/>
      <c r="M25" s="21"/>
      <c r="N25" s="33">
        <f>IF(SUM(N17:N22)=0,"",N23+N24)</f>
        <v>2930.9700000000003</v>
      </c>
      <c r="O25" s="34">
        <f>IF(SUM(O17:O22)=0,"",O23+O24)</f>
        <v>121.51223999999999</v>
      </c>
    </row>
    <row r="26" spans="1:15" ht="17.100000000000001" customHeight="1" thickTop="1" thickBot="1" x14ac:dyDescent="0.3">
      <c r="I26" s="66" t="s">
        <v>72</v>
      </c>
      <c r="J26" s="67"/>
      <c r="K26" s="67"/>
      <c r="L26" s="68"/>
      <c r="M26" s="67"/>
      <c r="N26" s="69"/>
      <c r="O26" s="70"/>
    </row>
    <row r="27" spans="1:15" ht="17.100000000000001" customHeight="1" thickTop="1" thickBot="1" x14ac:dyDescent="0.3">
      <c r="I27" s="20" t="s">
        <v>71</v>
      </c>
      <c r="J27" s="21"/>
      <c r="K27" s="21"/>
      <c r="L27" s="30">
        <v>13</v>
      </c>
      <c r="M27" s="21">
        <f>Stats_Cessna!O7</f>
        <v>46.5</v>
      </c>
      <c r="N27" s="31">
        <f>IF(ISBLANK(L27),"",$L27*6)</f>
        <v>78</v>
      </c>
      <c r="O27" s="32">
        <f>IF(ISBLANK(L27),"",($N27*$M27/1000))</f>
        <v>3.6269999999999998</v>
      </c>
    </row>
    <row r="28" spans="1:15" ht="17.100000000000001" customHeight="1" thickTop="1" thickBot="1" x14ac:dyDescent="0.3">
      <c r="I28" s="24" t="s">
        <v>77</v>
      </c>
      <c r="J28" s="21"/>
      <c r="K28" s="21"/>
      <c r="L28" s="29"/>
      <c r="M28" s="21"/>
      <c r="N28" s="33">
        <f>IF(ISBLANK(L27),"",N25-(L27*6))</f>
        <v>2852.9700000000003</v>
      </c>
      <c r="O28" s="34">
        <f>IF(ISBLANK(L27),"",O25-(L27*6*M27/1000))</f>
        <v>117.88524</v>
      </c>
    </row>
    <row r="29" spans="1:15" ht="17.100000000000001" customHeight="1" thickTop="1" thickBot="1" x14ac:dyDescent="0.3">
      <c r="A29" t="s">
        <v>9</v>
      </c>
      <c r="B29" s="2">
        <f>O23-O17</f>
        <v>103.56323999999999</v>
      </c>
      <c r="C29" s="3">
        <f>N23-N17</f>
        <v>2544.9700000000003</v>
      </c>
      <c r="I29" s="66" t="s">
        <v>73</v>
      </c>
      <c r="J29" s="67"/>
      <c r="K29" s="67"/>
      <c r="L29" s="67"/>
      <c r="M29" s="67"/>
      <c r="N29" s="71"/>
      <c r="O29" s="72"/>
    </row>
    <row r="30" spans="1:15" ht="17.100000000000001" customHeight="1" thickTop="1" thickBot="1" x14ac:dyDescent="0.3">
      <c r="A30" t="s">
        <v>4</v>
      </c>
      <c r="B30" s="2">
        <f>O28</f>
        <v>117.88524</v>
      </c>
      <c r="C30" s="3">
        <f>N28</f>
        <v>2852.9700000000003</v>
      </c>
      <c r="I30" s="24" t="s">
        <v>78</v>
      </c>
      <c r="J30" s="21"/>
      <c r="K30" s="21"/>
      <c r="L30" s="21"/>
      <c r="M30" s="21"/>
      <c r="N30" s="33">
        <f>IF(ISBLANK(L17),"",N23-N17)</f>
        <v>2544.9700000000003</v>
      </c>
      <c r="O30" s="34">
        <f>IF(ISBLANK(L17),"",O23-O17)</f>
        <v>103.56323999999999</v>
      </c>
    </row>
    <row r="31" spans="1:15" ht="17.100000000000001" customHeight="1" thickTop="1" x14ac:dyDescent="0.25">
      <c r="A31" t="s">
        <v>3</v>
      </c>
      <c r="B31" s="2">
        <f>O25</f>
        <v>121.51223999999999</v>
      </c>
      <c r="C31" s="3">
        <f>N25</f>
        <v>2930.9700000000003</v>
      </c>
      <c r="I31" s="66" t="s">
        <v>74</v>
      </c>
      <c r="J31" s="67"/>
      <c r="K31" s="67"/>
      <c r="L31" s="67"/>
      <c r="M31" s="67"/>
      <c r="N31" s="69"/>
      <c r="O31" s="70"/>
    </row>
    <row r="32" spans="1:15" ht="33.950000000000003" customHeight="1" x14ac:dyDescent="0.25">
      <c r="I32" s="73" t="s">
        <v>75</v>
      </c>
      <c r="J32" s="74"/>
      <c r="K32" s="74"/>
      <c r="L32" s="74"/>
      <c r="M32" s="74"/>
      <c r="N32" s="74"/>
      <c r="O32" s="75"/>
    </row>
    <row r="45" spans="14:16" x14ac:dyDescent="0.25">
      <c r="N45" s="2"/>
      <c r="P45" s="2"/>
    </row>
  </sheetData>
  <mergeCells count="12">
    <mergeCell ref="I32:O32"/>
    <mergeCell ref="A1:E1"/>
    <mergeCell ref="F1:G1"/>
    <mergeCell ref="L1:M1"/>
    <mergeCell ref="N1:O1"/>
    <mergeCell ref="A2:G2"/>
    <mergeCell ref="I13:O14"/>
    <mergeCell ref="I15:L15"/>
    <mergeCell ref="I22:J22"/>
    <mergeCell ref="I26:O26"/>
    <mergeCell ref="I29:O29"/>
    <mergeCell ref="I31:O31"/>
  </mergeCells>
  <conditionalFormatting sqref="O28">
    <cfRule type="cellIs" dxfId="7" priority="1" operator="greaterThan">
      <formula>N28*47.3/1000</formula>
    </cfRule>
  </conditionalFormatting>
  <pageMargins left="0.2" right="0.2" top="0.25" bottom="0.2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308E6-A46A-430E-8C47-B7771B945C53}">
  <dimension ref="A1:Z16"/>
  <sheetViews>
    <sheetView workbookViewId="0">
      <pane ySplit="1" topLeftCell="A2" activePane="bottomLeft" state="frozen"/>
      <selection activeCell="N2" sqref="N2"/>
      <selection pane="bottomLeft" activeCell="N2" sqref="N2"/>
    </sheetView>
  </sheetViews>
  <sheetFormatPr defaultRowHeight="15" x14ac:dyDescent="0.25"/>
  <cols>
    <col min="1" max="1" width="10.42578125" bestFit="1" customWidth="1"/>
    <col min="2" max="2" width="11.85546875" bestFit="1" customWidth="1"/>
    <col min="3" max="3" width="5" style="4" bestFit="1" customWidth="1"/>
    <col min="4" max="4" width="5.7109375" customWidth="1"/>
    <col min="5" max="5" width="10.140625" bestFit="1" customWidth="1"/>
    <col min="6" max="6" width="9.85546875" customWidth="1"/>
    <col min="7" max="7" width="8.85546875" customWidth="1"/>
    <col min="8" max="8" width="9.42578125" customWidth="1"/>
    <col min="9" max="12" width="9.28515625" customWidth="1"/>
    <col min="13" max="13" width="8.42578125" customWidth="1"/>
    <col min="14" max="14" width="9.28515625" customWidth="1"/>
    <col min="15" max="15" width="5.85546875" customWidth="1"/>
    <col min="16" max="16" width="7" customWidth="1"/>
    <col min="17" max="19" width="6.28515625" customWidth="1"/>
    <col min="20" max="21" width="5.5703125" bestFit="1" customWidth="1"/>
  </cols>
  <sheetData>
    <row r="1" spans="1:26" s="6" customFormat="1" ht="30" customHeight="1" thickBot="1" x14ac:dyDescent="0.3">
      <c r="A1" s="7" t="s">
        <v>14</v>
      </c>
      <c r="B1" s="7" t="s">
        <v>15</v>
      </c>
      <c r="C1" s="7" t="s">
        <v>42</v>
      </c>
      <c r="D1" s="7" t="s">
        <v>41</v>
      </c>
      <c r="E1" s="7" t="s">
        <v>18</v>
      </c>
      <c r="F1" s="7" t="s">
        <v>19</v>
      </c>
      <c r="G1" s="7" t="s">
        <v>30</v>
      </c>
      <c r="H1" s="7" t="s">
        <v>31</v>
      </c>
      <c r="I1" s="7" t="s">
        <v>20</v>
      </c>
      <c r="J1" s="7" t="s">
        <v>21</v>
      </c>
      <c r="K1" s="7" t="s">
        <v>34</v>
      </c>
      <c r="L1" s="7" t="s">
        <v>32</v>
      </c>
      <c r="M1" s="7" t="s">
        <v>22</v>
      </c>
      <c r="N1" s="7" t="s">
        <v>23</v>
      </c>
      <c r="O1" s="7" t="s">
        <v>24</v>
      </c>
      <c r="P1" s="7" t="s">
        <v>25</v>
      </c>
      <c r="Q1" s="7" t="s">
        <v>26</v>
      </c>
      <c r="R1" s="7" t="s">
        <v>124</v>
      </c>
      <c r="S1" s="7" t="s">
        <v>125</v>
      </c>
      <c r="T1" s="7" t="s">
        <v>27</v>
      </c>
      <c r="U1" s="7" t="s">
        <v>28</v>
      </c>
    </row>
    <row r="2" spans="1:26" x14ac:dyDescent="0.25">
      <c r="A2" t="s">
        <v>118</v>
      </c>
      <c r="B2" t="s">
        <v>108</v>
      </c>
      <c r="C2" s="4">
        <v>2004</v>
      </c>
      <c r="D2">
        <v>1170</v>
      </c>
      <c r="E2" s="42">
        <v>44659</v>
      </c>
      <c r="F2">
        <v>4000</v>
      </c>
      <c r="G2">
        <v>4000</v>
      </c>
      <c r="H2">
        <v>4000</v>
      </c>
      <c r="I2">
        <v>2355.4</v>
      </c>
      <c r="J2">
        <v>54.07</v>
      </c>
      <c r="K2">
        <v>127358.1</v>
      </c>
      <c r="M2">
        <v>87.7</v>
      </c>
      <c r="O2">
        <v>67.5</v>
      </c>
      <c r="P2">
        <v>38</v>
      </c>
      <c r="Q2">
        <v>69.8</v>
      </c>
      <c r="R2">
        <v>99.3</v>
      </c>
      <c r="S2">
        <v>127.8</v>
      </c>
      <c r="T2">
        <v>148.30000000000001</v>
      </c>
      <c r="U2">
        <v>182</v>
      </c>
    </row>
    <row r="6" spans="1:26" s="4" customFormat="1" x14ac:dyDescent="0.25"/>
    <row r="7" spans="1:26" s="4" customFormat="1" x14ac:dyDescent="0.25"/>
    <row r="12" spans="1:26" s="4" customFormat="1" x14ac:dyDescent="0.25"/>
    <row r="13" spans="1:26" s="4" customFormat="1" x14ac:dyDescent="0.25"/>
    <row r="16" spans="1:26" x14ac:dyDescent="0.25">
      <c r="Z16">
        <f>2355.4*54.07</f>
        <v>127356.478</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20"/>
  <sheetViews>
    <sheetView workbookViewId="0">
      <selection activeCell="N2" sqref="N2"/>
    </sheetView>
  </sheetViews>
  <sheetFormatPr defaultRowHeight="15" x14ac:dyDescent="0.25"/>
  <sheetData>
    <row r="1" spans="1:19" x14ac:dyDescent="0.25">
      <c r="A1" s="94" t="s">
        <v>35</v>
      </c>
      <c r="B1" s="94"/>
      <c r="C1" s="94"/>
      <c r="D1" s="94"/>
      <c r="E1" s="94"/>
      <c r="F1" s="94"/>
      <c r="G1" s="94"/>
      <c r="H1" s="94"/>
      <c r="I1" s="94"/>
      <c r="J1" s="94"/>
      <c r="K1" s="94"/>
      <c r="L1" s="94"/>
      <c r="M1" s="94"/>
      <c r="N1" s="94"/>
    </row>
    <row r="2" spans="1:19" x14ac:dyDescent="0.25">
      <c r="A2" s="95" t="s">
        <v>0</v>
      </c>
      <c r="B2" s="95"/>
      <c r="C2" s="4"/>
      <c r="D2" s="95" t="s">
        <v>1</v>
      </c>
      <c r="E2" s="95"/>
      <c r="F2" s="95"/>
      <c r="G2" s="4"/>
      <c r="H2" s="95" t="s">
        <v>2</v>
      </c>
      <c r="I2" s="95"/>
      <c r="J2" s="4"/>
      <c r="K2" s="95" t="s">
        <v>7</v>
      </c>
      <c r="L2" s="95"/>
      <c r="M2" s="95" t="s">
        <v>8</v>
      </c>
      <c r="N2" s="95"/>
    </row>
    <row r="3" spans="1:19" x14ac:dyDescent="0.25">
      <c r="A3" s="4" t="s">
        <v>38</v>
      </c>
      <c r="B3" s="5">
        <v>37</v>
      </c>
      <c r="C3" s="4"/>
      <c r="D3" s="4"/>
      <c r="E3" s="4" t="s">
        <v>38</v>
      </c>
      <c r="F3" s="5">
        <v>48</v>
      </c>
      <c r="G3" s="4"/>
      <c r="H3" s="4" t="s">
        <v>39</v>
      </c>
      <c r="I3" s="5">
        <v>73</v>
      </c>
      <c r="J3" s="4"/>
      <c r="K3" s="4" t="s">
        <v>39</v>
      </c>
      <c r="L3" s="5">
        <v>95</v>
      </c>
      <c r="M3" s="4" t="s">
        <v>39</v>
      </c>
      <c r="N3" s="5">
        <v>123</v>
      </c>
    </row>
    <row r="4" spans="1:19" x14ac:dyDescent="0.25">
      <c r="A4" s="4" t="s">
        <v>6</v>
      </c>
      <c r="B4" s="4" t="s">
        <v>5</v>
      </c>
      <c r="C4" s="4"/>
      <c r="D4" s="4" t="s">
        <v>36</v>
      </c>
      <c r="E4" s="4" t="s">
        <v>6</v>
      </c>
      <c r="F4" s="4" t="s">
        <v>5</v>
      </c>
      <c r="G4" s="4"/>
      <c r="H4" s="4" t="s">
        <v>6</v>
      </c>
      <c r="I4" s="4" t="s">
        <v>5</v>
      </c>
      <c r="J4" s="4"/>
      <c r="K4" s="4" t="s">
        <v>6</v>
      </c>
      <c r="L4" s="4" t="s">
        <v>5</v>
      </c>
      <c r="M4" s="4" t="s">
        <v>6</v>
      </c>
      <c r="N4" s="4" t="s">
        <v>5</v>
      </c>
    </row>
    <row r="5" spans="1:19" x14ac:dyDescent="0.25">
      <c r="A5">
        <v>0</v>
      </c>
      <c r="B5">
        <f>A5*B3/1000</f>
        <v>0</v>
      </c>
      <c r="D5">
        <v>0</v>
      </c>
      <c r="E5">
        <f>$D5*6</f>
        <v>0</v>
      </c>
      <c r="F5">
        <f>D5*6*F3/1000</f>
        <v>0</v>
      </c>
      <c r="H5">
        <v>0</v>
      </c>
      <c r="I5">
        <f>H5*I3/1000</f>
        <v>0</v>
      </c>
      <c r="K5">
        <v>0</v>
      </c>
      <c r="L5" s="2">
        <f>K5*L3/1000</f>
        <v>0</v>
      </c>
      <c r="M5">
        <v>0</v>
      </c>
      <c r="N5" s="2">
        <f>M5*N3/1000</f>
        <v>0</v>
      </c>
    </row>
    <row r="6" spans="1:19" x14ac:dyDescent="0.25">
      <c r="A6">
        <v>450</v>
      </c>
      <c r="B6">
        <f>A6*B3/1000</f>
        <v>16.649999999999999</v>
      </c>
      <c r="D6">
        <v>50</v>
      </c>
      <c r="E6">
        <f>$D6*6</f>
        <v>300</v>
      </c>
      <c r="F6">
        <f>D6*6*F3/1000</f>
        <v>14.4</v>
      </c>
      <c r="H6">
        <v>450</v>
      </c>
      <c r="I6">
        <f>H6*I3/1000</f>
        <v>32.85</v>
      </c>
      <c r="K6">
        <v>120</v>
      </c>
      <c r="L6" s="2">
        <f>K6*L3/1000</f>
        <v>11.4</v>
      </c>
      <c r="M6">
        <v>50</v>
      </c>
      <c r="N6" s="2">
        <f>M6*N3/1000</f>
        <v>6.15</v>
      </c>
    </row>
    <row r="8" spans="1:19" x14ac:dyDescent="0.25">
      <c r="A8" s="94" t="s">
        <v>40</v>
      </c>
      <c r="B8" s="94"/>
      <c r="C8" s="94"/>
      <c r="D8" s="94"/>
      <c r="E8" s="94"/>
      <c r="F8" s="94"/>
      <c r="G8" s="94"/>
      <c r="H8" s="94"/>
      <c r="I8" s="94"/>
      <c r="J8" s="94"/>
      <c r="K8" s="94"/>
      <c r="L8" s="94"/>
      <c r="M8" s="94"/>
      <c r="N8" s="94"/>
      <c r="O8" s="94"/>
      <c r="P8" s="94"/>
    </row>
    <row r="9" spans="1:19" x14ac:dyDescent="0.25">
      <c r="A9" s="94" t="s">
        <v>0</v>
      </c>
      <c r="B9" s="94"/>
      <c r="C9" s="4"/>
      <c r="D9" s="94" t="s">
        <v>1</v>
      </c>
      <c r="E9" s="94"/>
      <c r="F9" s="94"/>
      <c r="G9" s="4"/>
      <c r="H9" s="94" t="s">
        <v>2</v>
      </c>
      <c r="I9" s="94"/>
      <c r="J9" s="4"/>
      <c r="K9" s="94" t="s">
        <v>7</v>
      </c>
      <c r="L9" s="94"/>
      <c r="M9" s="94" t="s">
        <v>8</v>
      </c>
      <c r="N9" s="94"/>
      <c r="O9" s="94" t="s">
        <v>37</v>
      </c>
      <c r="P9" s="94"/>
    </row>
    <row r="10" spans="1:19" x14ac:dyDescent="0.25">
      <c r="A10" s="4" t="s">
        <v>38</v>
      </c>
      <c r="B10" s="5">
        <v>37</v>
      </c>
      <c r="C10" s="4"/>
      <c r="D10" s="4"/>
      <c r="E10" s="4" t="s">
        <v>38</v>
      </c>
      <c r="F10" s="5">
        <v>46.5</v>
      </c>
      <c r="G10" s="4"/>
      <c r="H10" s="4" t="s">
        <v>39</v>
      </c>
      <c r="I10" s="5">
        <v>74</v>
      </c>
      <c r="J10" s="4"/>
      <c r="K10" s="4" t="s">
        <v>39</v>
      </c>
      <c r="L10" s="5">
        <v>97</v>
      </c>
      <c r="M10" s="4" t="s">
        <v>39</v>
      </c>
      <c r="N10" s="5">
        <v>116</v>
      </c>
      <c r="O10" s="4" t="s">
        <v>39</v>
      </c>
      <c r="P10" s="5">
        <v>129</v>
      </c>
    </row>
    <row r="11" spans="1:19" x14ac:dyDescent="0.25">
      <c r="A11" s="4" t="s">
        <v>6</v>
      </c>
      <c r="B11" s="4" t="s">
        <v>5</v>
      </c>
      <c r="C11" s="4"/>
      <c r="D11" s="4" t="s">
        <v>36</v>
      </c>
      <c r="E11" s="4" t="s">
        <v>6</v>
      </c>
      <c r="F11" s="4" t="s">
        <v>5</v>
      </c>
      <c r="G11" s="4"/>
      <c r="H11" s="4" t="s">
        <v>6</v>
      </c>
      <c r="I11" s="4" t="s">
        <v>5</v>
      </c>
      <c r="J11" s="4"/>
      <c r="K11" s="4" t="s">
        <v>6</v>
      </c>
      <c r="L11" s="4" t="s">
        <v>5</v>
      </c>
      <c r="M11" s="4" t="s">
        <v>6</v>
      </c>
      <c r="N11" s="4" t="s">
        <v>5</v>
      </c>
      <c r="O11" s="4" t="s">
        <v>6</v>
      </c>
      <c r="P11" s="4" t="s">
        <v>5</v>
      </c>
    </row>
    <row r="12" spans="1:19" x14ac:dyDescent="0.25">
      <c r="A12">
        <v>0</v>
      </c>
      <c r="B12">
        <f>A12*B10/1000</f>
        <v>0</v>
      </c>
      <c r="D12">
        <v>0</v>
      </c>
      <c r="E12">
        <f>$D12*6</f>
        <v>0</v>
      </c>
      <c r="F12">
        <f>D12*6*F10/1000</f>
        <v>0</v>
      </c>
      <c r="H12">
        <v>0</v>
      </c>
      <c r="I12">
        <f>H12*I10/1000</f>
        <v>0</v>
      </c>
      <c r="K12">
        <v>0</v>
      </c>
      <c r="L12" s="2">
        <f>K12*L10/1000</f>
        <v>0</v>
      </c>
      <c r="M12">
        <v>0</v>
      </c>
      <c r="N12" s="2">
        <f>M12*N10/1000</f>
        <v>0</v>
      </c>
      <c r="O12">
        <v>0</v>
      </c>
      <c r="P12" s="2">
        <f>O12*P10/1000</f>
        <v>0</v>
      </c>
    </row>
    <row r="13" spans="1:19" x14ac:dyDescent="0.25">
      <c r="A13">
        <v>450</v>
      </c>
      <c r="B13">
        <f>A13*B10/1000</f>
        <v>16.649999999999999</v>
      </c>
      <c r="D13">
        <v>87</v>
      </c>
      <c r="E13">
        <f>$D13*6</f>
        <v>522</v>
      </c>
      <c r="F13">
        <f>D13*6*F10/1000</f>
        <v>24.273</v>
      </c>
      <c r="H13">
        <v>450</v>
      </c>
      <c r="I13">
        <f>H13*I10/1000</f>
        <v>33.299999999999997</v>
      </c>
      <c r="K13">
        <v>120</v>
      </c>
      <c r="L13" s="2">
        <f>K13*L10/1000</f>
        <v>11.64</v>
      </c>
      <c r="M13">
        <v>80</v>
      </c>
      <c r="N13" s="2">
        <f>M13*N10/1000</f>
        <v>9.2799999999999994</v>
      </c>
      <c r="O13">
        <v>80</v>
      </c>
      <c r="P13" s="2">
        <f>O13*P10/1000</f>
        <v>10.32</v>
      </c>
    </row>
    <row r="15" spans="1:19" x14ac:dyDescent="0.25">
      <c r="A15" s="94" t="s">
        <v>109</v>
      </c>
      <c r="B15" s="94"/>
      <c r="C15" s="94"/>
      <c r="D15" s="94"/>
      <c r="E15" s="94"/>
      <c r="F15" s="94"/>
      <c r="G15" s="94"/>
      <c r="H15" s="94"/>
      <c r="I15" s="94"/>
      <c r="J15" s="94"/>
      <c r="K15" s="94"/>
      <c r="L15" s="94"/>
      <c r="M15" s="94"/>
      <c r="N15" s="94"/>
    </row>
    <row r="16" spans="1:19" x14ac:dyDescent="0.25">
      <c r="A16" s="95" t="s">
        <v>0</v>
      </c>
      <c r="B16" s="95"/>
      <c r="C16" s="4"/>
      <c r="D16" s="95" t="s">
        <v>1</v>
      </c>
      <c r="E16" s="95"/>
      <c r="F16" s="95"/>
      <c r="G16" s="4"/>
      <c r="H16" s="95" t="s">
        <v>2</v>
      </c>
      <c r="I16" s="95"/>
      <c r="J16" s="4"/>
      <c r="K16" s="95" t="s">
        <v>7</v>
      </c>
      <c r="L16" s="95"/>
      <c r="M16" s="95" t="s">
        <v>8</v>
      </c>
      <c r="N16" s="95"/>
      <c r="O16" s="40"/>
      <c r="P16" s="95" t="s">
        <v>110</v>
      </c>
      <c r="Q16" s="95"/>
      <c r="R16" s="95" t="s">
        <v>111</v>
      </c>
      <c r="S16" s="95"/>
    </row>
    <row r="17" spans="1:19" x14ac:dyDescent="0.25">
      <c r="A17" s="4" t="s">
        <v>38</v>
      </c>
      <c r="B17" s="5">
        <v>38</v>
      </c>
      <c r="C17" s="4"/>
      <c r="D17" s="4"/>
      <c r="E17" s="4" t="s">
        <v>38</v>
      </c>
      <c r="F17" s="5">
        <v>67.5</v>
      </c>
      <c r="G17" s="4"/>
      <c r="H17" s="4" t="s">
        <v>39</v>
      </c>
      <c r="I17" s="5">
        <v>69.8</v>
      </c>
      <c r="J17" s="4"/>
      <c r="K17" s="4" t="s">
        <v>39</v>
      </c>
      <c r="L17" s="5">
        <v>148</v>
      </c>
      <c r="M17" s="4" t="s">
        <v>39</v>
      </c>
      <c r="N17" s="5">
        <v>182</v>
      </c>
      <c r="P17" s="4" t="s">
        <v>39</v>
      </c>
      <c r="Q17" s="5">
        <v>99.3</v>
      </c>
      <c r="R17" s="4" t="s">
        <v>39</v>
      </c>
      <c r="S17" s="5">
        <v>127.8</v>
      </c>
    </row>
    <row r="18" spans="1:19" x14ac:dyDescent="0.25">
      <c r="A18" s="4" t="s">
        <v>6</v>
      </c>
      <c r="B18" s="4" t="s">
        <v>5</v>
      </c>
      <c r="C18" s="4"/>
      <c r="D18" s="4" t="s">
        <v>36</v>
      </c>
      <c r="E18" s="4" t="s">
        <v>6</v>
      </c>
      <c r="F18" s="4" t="s">
        <v>5</v>
      </c>
      <c r="G18" s="4"/>
      <c r="H18" s="4" t="s">
        <v>6</v>
      </c>
      <c r="I18" s="4" t="s">
        <v>5</v>
      </c>
      <c r="J18" s="4"/>
      <c r="K18" s="4" t="s">
        <v>6</v>
      </c>
      <c r="L18" s="4" t="s">
        <v>5</v>
      </c>
      <c r="M18" s="4" t="s">
        <v>6</v>
      </c>
      <c r="N18" s="4" t="s">
        <v>5</v>
      </c>
      <c r="P18" s="4" t="s">
        <v>6</v>
      </c>
      <c r="Q18" s="4" t="s">
        <v>5</v>
      </c>
      <c r="R18" s="4" t="s">
        <v>6</v>
      </c>
      <c r="S18" s="4" t="s">
        <v>5</v>
      </c>
    </row>
    <row r="19" spans="1:19" x14ac:dyDescent="0.25">
      <c r="A19">
        <v>0</v>
      </c>
      <c r="B19">
        <f>A19*B17/1000</f>
        <v>0</v>
      </c>
      <c r="D19">
        <v>0</v>
      </c>
      <c r="E19">
        <f>$D19*6</f>
        <v>0</v>
      </c>
      <c r="F19">
        <f>D19*6*F17/1000</f>
        <v>0</v>
      </c>
      <c r="H19">
        <v>0</v>
      </c>
      <c r="I19">
        <f>H19*I17/1000</f>
        <v>0</v>
      </c>
      <c r="K19">
        <v>0</v>
      </c>
      <c r="L19" s="2">
        <f>K19*L17/1000</f>
        <v>0</v>
      </c>
      <c r="M19">
        <v>0</v>
      </c>
      <c r="N19" s="2">
        <f>M19*N17/1000</f>
        <v>0</v>
      </c>
      <c r="P19">
        <v>0</v>
      </c>
      <c r="Q19">
        <f>P19*Q17/1000</f>
        <v>0</v>
      </c>
      <c r="R19">
        <v>0</v>
      </c>
      <c r="S19">
        <f>R19*S17/1000</f>
        <v>0</v>
      </c>
    </row>
    <row r="20" spans="1:19" x14ac:dyDescent="0.25">
      <c r="A20">
        <v>550</v>
      </c>
      <c r="B20">
        <f>A20*B17/1000</f>
        <v>20.9</v>
      </c>
      <c r="D20">
        <v>88</v>
      </c>
      <c r="E20">
        <f>$D20*6</f>
        <v>528</v>
      </c>
      <c r="F20">
        <f>D20*6*F17/1000</f>
        <v>35.64</v>
      </c>
      <c r="H20">
        <v>550</v>
      </c>
      <c r="I20">
        <f>H20*I17/1000</f>
        <v>38.39</v>
      </c>
      <c r="K20">
        <v>250</v>
      </c>
      <c r="L20" s="2">
        <f>K20*L17/1000</f>
        <v>37</v>
      </c>
      <c r="M20">
        <v>50</v>
      </c>
      <c r="N20" s="2">
        <f>M20*N17/1000</f>
        <v>9.1</v>
      </c>
      <c r="P20">
        <v>550</v>
      </c>
      <c r="Q20" s="2">
        <f>P20*Q17/1000</f>
        <v>54.615000000000002</v>
      </c>
      <c r="R20">
        <v>550</v>
      </c>
      <c r="S20" s="2">
        <f>R20*S17/1000</f>
        <v>70.290000000000006</v>
      </c>
    </row>
  </sheetData>
  <mergeCells count="21">
    <mergeCell ref="P16:Q16"/>
    <mergeCell ref="R16:S16"/>
    <mergeCell ref="A15:N15"/>
    <mergeCell ref="A16:B16"/>
    <mergeCell ref="D16:F16"/>
    <mergeCell ref="H16:I16"/>
    <mergeCell ref="K16:L16"/>
    <mergeCell ref="M16:N16"/>
    <mergeCell ref="A1:N1"/>
    <mergeCell ref="O9:P9"/>
    <mergeCell ref="A8:P8"/>
    <mergeCell ref="K2:L2"/>
    <mergeCell ref="M2:N2"/>
    <mergeCell ref="D2:F2"/>
    <mergeCell ref="H2:I2"/>
    <mergeCell ref="A2:B2"/>
    <mergeCell ref="A9:B9"/>
    <mergeCell ref="D9:F9"/>
    <mergeCell ref="H9:I9"/>
    <mergeCell ref="K9:L9"/>
    <mergeCell ref="M9:N9"/>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45"/>
  <sheetViews>
    <sheetView topLeftCell="A22" workbookViewId="0">
      <selection activeCell="N2" sqref="N2"/>
    </sheetView>
  </sheetViews>
  <sheetFormatPr defaultRowHeight="15" x14ac:dyDescent="0.25"/>
  <cols>
    <col min="7" max="7" width="14.28515625" customWidth="1"/>
    <col min="8" max="8" width="13.140625" customWidth="1"/>
  </cols>
  <sheetData>
    <row r="1" spans="1:8" ht="32.25" customHeight="1" x14ac:dyDescent="0.25">
      <c r="A1" s="96" t="s">
        <v>33</v>
      </c>
      <c r="B1" s="96"/>
      <c r="C1" s="96"/>
      <c r="D1" s="96"/>
      <c r="G1" s="97" t="s">
        <v>45</v>
      </c>
      <c r="H1" s="96"/>
    </row>
    <row r="2" spans="1:8" x14ac:dyDescent="0.25">
      <c r="A2" s="96" t="s">
        <v>43</v>
      </c>
      <c r="B2" s="96"/>
      <c r="C2" s="96" t="s">
        <v>44</v>
      </c>
      <c r="D2" s="96"/>
      <c r="G2" s="4" t="s">
        <v>43</v>
      </c>
      <c r="H2" s="4" t="s">
        <v>44</v>
      </c>
    </row>
    <row r="3" spans="1:8" x14ac:dyDescent="0.25">
      <c r="A3">
        <v>1500</v>
      </c>
      <c r="B3">
        <v>35</v>
      </c>
      <c r="C3">
        <v>1500</v>
      </c>
      <c r="D3">
        <v>35</v>
      </c>
      <c r="G3">
        <f t="shared" ref="G3:G8" si="0">A3*B3/1000</f>
        <v>52.5</v>
      </c>
      <c r="H3">
        <f t="shared" ref="H3:H8" si="1">C3*D3/1000</f>
        <v>52.5</v>
      </c>
    </row>
    <row r="4" spans="1:8" x14ac:dyDescent="0.25">
      <c r="A4">
        <v>1950</v>
      </c>
      <c r="B4">
        <v>35</v>
      </c>
      <c r="C4">
        <v>1950</v>
      </c>
      <c r="D4">
        <v>35</v>
      </c>
      <c r="G4">
        <f t="shared" si="0"/>
        <v>68.25</v>
      </c>
      <c r="H4">
        <f t="shared" si="1"/>
        <v>68.25</v>
      </c>
    </row>
    <row r="5" spans="1:8" x14ac:dyDescent="0.25">
      <c r="A5">
        <v>2200</v>
      </c>
      <c r="B5">
        <v>37.5</v>
      </c>
      <c r="C5">
        <v>2200</v>
      </c>
      <c r="D5">
        <v>37.5</v>
      </c>
      <c r="G5">
        <f t="shared" si="0"/>
        <v>82.5</v>
      </c>
      <c r="H5">
        <f t="shared" si="1"/>
        <v>82.5</v>
      </c>
    </row>
    <row r="6" spans="1:8" x14ac:dyDescent="0.25">
      <c r="A6">
        <v>2550</v>
      </c>
      <c r="B6">
        <v>41</v>
      </c>
      <c r="C6">
        <v>2200</v>
      </c>
      <c r="D6">
        <v>37.5</v>
      </c>
      <c r="G6">
        <f t="shared" si="0"/>
        <v>104.55</v>
      </c>
      <c r="H6">
        <f t="shared" si="1"/>
        <v>82.5</v>
      </c>
    </row>
    <row r="7" spans="1:8" x14ac:dyDescent="0.25">
      <c r="A7">
        <v>2550</v>
      </c>
      <c r="B7">
        <v>47.3</v>
      </c>
      <c r="C7">
        <v>2200</v>
      </c>
      <c r="D7">
        <v>40.5</v>
      </c>
      <c r="G7">
        <f t="shared" si="0"/>
        <v>120.61499999999999</v>
      </c>
      <c r="H7">
        <f t="shared" si="1"/>
        <v>89.1</v>
      </c>
    </row>
    <row r="8" spans="1:8" x14ac:dyDescent="0.25">
      <c r="A8">
        <v>1500</v>
      </c>
      <c r="B8">
        <v>47.3</v>
      </c>
      <c r="C8">
        <v>1500</v>
      </c>
      <c r="D8">
        <v>40.5</v>
      </c>
      <c r="G8">
        <f t="shared" si="0"/>
        <v>70.95</v>
      </c>
      <c r="H8">
        <f t="shared" si="1"/>
        <v>60.75</v>
      </c>
    </row>
    <row r="10" spans="1:8" x14ac:dyDescent="0.25">
      <c r="A10" s="96" t="s">
        <v>83</v>
      </c>
      <c r="B10" s="96"/>
      <c r="C10" s="96"/>
      <c r="D10" s="96"/>
      <c r="G10" s="97" t="s">
        <v>84</v>
      </c>
      <c r="H10" s="96"/>
    </row>
    <row r="11" spans="1:8" x14ac:dyDescent="0.25">
      <c r="A11" s="96"/>
      <c r="B11" s="96"/>
      <c r="C11" s="96"/>
      <c r="D11" s="96"/>
      <c r="G11" s="96"/>
      <c r="H11" s="96"/>
    </row>
    <row r="12" spans="1:8" x14ac:dyDescent="0.25">
      <c r="A12">
        <v>1800</v>
      </c>
      <c r="B12">
        <v>33</v>
      </c>
      <c r="G12">
        <f>A12*B12/1000</f>
        <v>59.4</v>
      </c>
    </row>
    <row r="13" spans="1:8" x14ac:dyDescent="0.25">
      <c r="A13">
        <v>2250</v>
      </c>
      <c r="B13">
        <v>33</v>
      </c>
      <c r="G13">
        <f t="shared" ref="G13:G23" si="2">A13*B13/1000</f>
        <v>74.25</v>
      </c>
    </row>
    <row r="14" spans="1:8" x14ac:dyDescent="0.25">
      <c r="A14">
        <v>2700</v>
      </c>
      <c r="B14">
        <v>35.5</v>
      </c>
      <c r="G14">
        <f t="shared" si="2"/>
        <v>95.85</v>
      </c>
    </row>
    <row r="15" spans="1:8" x14ac:dyDescent="0.25">
      <c r="A15">
        <v>2950</v>
      </c>
      <c r="B15">
        <v>39.049999999999997</v>
      </c>
      <c r="G15">
        <f t="shared" si="2"/>
        <v>115.19749999999999</v>
      </c>
    </row>
    <row r="16" spans="1:8" x14ac:dyDescent="0.25">
      <c r="A16">
        <v>2950</v>
      </c>
      <c r="B16">
        <v>46</v>
      </c>
      <c r="G16">
        <f t="shared" si="2"/>
        <v>135.69999999999999</v>
      </c>
    </row>
    <row r="17" spans="1:8" x14ac:dyDescent="0.25">
      <c r="A17">
        <v>1800</v>
      </c>
      <c r="B17">
        <v>46</v>
      </c>
      <c r="G17">
        <f t="shared" si="2"/>
        <v>82.8</v>
      </c>
    </row>
    <row r="19" spans="1:8" x14ac:dyDescent="0.25">
      <c r="A19">
        <v>2700</v>
      </c>
      <c r="B19">
        <v>40.9</v>
      </c>
      <c r="G19">
        <f t="shared" si="2"/>
        <v>110.43</v>
      </c>
    </row>
    <row r="20" spans="1:8" x14ac:dyDescent="0.25">
      <c r="A20">
        <v>2950</v>
      </c>
      <c r="B20">
        <v>39.049999999999997</v>
      </c>
      <c r="G20">
        <f t="shared" si="2"/>
        <v>115.19749999999999</v>
      </c>
    </row>
    <row r="21" spans="1:8" x14ac:dyDescent="0.25">
      <c r="A21">
        <v>3100</v>
      </c>
      <c r="B21">
        <v>40.9</v>
      </c>
      <c r="G21">
        <f t="shared" si="2"/>
        <v>126.79</v>
      </c>
    </row>
    <row r="22" spans="1:8" x14ac:dyDescent="0.25">
      <c r="A22">
        <v>3100</v>
      </c>
      <c r="B22">
        <v>46</v>
      </c>
      <c r="G22">
        <f t="shared" si="2"/>
        <v>142.6</v>
      </c>
    </row>
    <row r="23" spans="1:8" x14ac:dyDescent="0.25">
      <c r="A23">
        <v>2950</v>
      </c>
      <c r="B23">
        <v>46</v>
      </c>
      <c r="G23">
        <f t="shared" si="2"/>
        <v>135.69999999999999</v>
      </c>
    </row>
    <row r="25" spans="1:8" x14ac:dyDescent="0.25">
      <c r="A25" s="96" t="s">
        <v>91</v>
      </c>
      <c r="B25" s="96"/>
      <c r="C25" s="96"/>
      <c r="D25" s="96"/>
      <c r="G25" s="97" t="s">
        <v>92</v>
      </c>
      <c r="H25" s="96"/>
    </row>
    <row r="26" spans="1:8" x14ac:dyDescent="0.25">
      <c r="A26" s="96"/>
      <c r="B26" s="96"/>
      <c r="C26" s="96"/>
      <c r="D26" s="96"/>
      <c r="G26" s="96"/>
      <c r="H26" s="96"/>
    </row>
    <row r="27" spans="1:8" x14ac:dyDescent="0.25">
      <c r="A27">
        <v>1800</v>
      </c>
      <c r="B27">
        <v>33</v>
      </c>
      <c r="G27">
        <f>A27*B27/1000</f>
        <v>59.4</v>
      </c>
    </row>
    <row r="28" spans="1:8" x14ac:dyDescent="0.25">
      <c r="A28">
        <v>2250</v>
      </c>
      <c r="B28">
        <v>33</v>
      </c>
      <c r="G28">
        <f t="shared" ref="G28:G31" si="3">A28*B28/1000</f>
        <v>74.25</v>
      </c>
    </row>
    <row r="29" spans="1:8" x14ac:dyDescent="0.25">
      <c r="A29">
        <v>2950</v>
      </c>
      <c r="B29">
        <v>39.770000000000003</v>
      </c>
      <c r="C29">
        <v>2950</v>
      </c>
      <c r="D29">
        <v>39.049999999999997</v>
      </c>
      <c r="G29">
        <f t="shared" si="3"/>
        <v>117.32150000000001</v>
      </c>
    </row>
    <row r="30" spans="1:8" x14ac:dyDescent="0.25">
      <c r="A30">
        <v>2950</v>
      </c>
      <c r="B30">
        <v>46</v>
      </c>
      <c r="G30">
        <f t="shared" si="3"/>
        <v>135.69999999999999</v>
      </c>
    </row>
    <row r="31" spans="1:8" x14ac:dyDescent="0.25">
      <c r="A31">
        <v>1800</v>
      </c>
      <c r="B31">
        <v>46</v>
      </c>
      <c r="G31">
        <f t="shared" si="3"/>
        <v>82.8</v>
      </c>
    </row>
    <row r="33" spans="1:8" x14ac:dyDescent="0.25">
      <c r="A33">
        <v>2250</v>
      </c>
      <c r="B33">
        <v>33</v>
      </c>
      <c r="G33">
        <f t="shared" ref="G33:G37" si="4">A33*B33/1000</f>
        <v>74.25</v>
      </c>
    </row>
    <row r="34" spans="1:8" x14ac:dyDescent="0.25">
      <c r="A34">
        <v>2950</v>
      </c>
      <c r="B34">
        <v>39.770000000000003</v>
      </c>
      <c r="G34">
        <f t="shared" si="4"/>
        <v>117.32150000000001</v>
      </c>
    </row>
    <row r="35" spans="1:8" x14ac:dyDescent="0.25">
      <c r="A35">
        <v>3100</v>
      </c>
      <c r="B35">
        <v>40.9</v>
      </c>
      <c r="G35">
        <f t="shared" si="4"/>
        <v>126.79</v>
      </c>
    </row>
    <row r="36" spans="1:8" x14ac:dyDescent="0.25">
      <c r="A36">
        <v>3100</v>
      </c>
      <c r="B36">
        <v>46</v>
      </c>
      <c r="G36">
        <f t="shared" si="4"/>
        <v>142.6</v>
      </c>
    </row>
    <row r="37" spans="1:8" x14ac:dyDescent="0.25">
      <c r="A37">
        <v>2950</v>
      </c>
      <c r="B37">
        <v>46</v>
      </c>
      <c r="G37">
        <f t="shared" si="4"/>
        <v>135.69999999999999</v>
      </c>
    </row>
    <row r="39" spans="1:8" x14ac:dyDescent="0.25">
      <c r="A39" s="96" t="s">
        <v>106</v>
      </c>
      <c r="B39" s="96"/>
      <c r="C39" s="96"/>
      <c r="D39" s="96"/>
      <c r="G39" s="97" t="s">
        <v>107</v>
      </c>
      <c r="H39" s="96"/>
    </row>
    <row r="40" spans="1:8" x14ac:dyDescent="0.25">
      <c r="A40" s="96"/>
      <c r="B40" s="96"/>
      <c r="C40" s="96"/>
      <c r="D40" s="96"/>
      <c r="G40" s="96"/>
      <c r="H40" s="96"/>
    </row>
    <row r="41" spans="1:8" x14ac:dyDescent="0.25">
      <c r="A41">
        <v>2200</v>
      </c>
      <c r="B41">
        <v>48</v>
      </c>
      <c r="G41">
        <f>A41*B41/1000</f>
        <v>105.6</v>
      </c>
    </row>
    <row r="42" spans="1:8" x14ac:dyDescent="0.25">
      <c r="A42">
        <v>2400</v>
      </c>
      <c r="B42">
        <v>48</v>
      </c>
      <c r="G42">
        <f t="shared" ref="G42:G45" si="5">A42*B42/1000</f>
        <v>115.2</v>
      </c>
    </row>
    <row r="43" spans="1:8" x14ac:dyDescent="0.25">
      <c r="A43">
        <v>4000</v>
      </c>
      <c r="B43">
        <v>56</v>
      </c>
      <c r="G43">
        <f t="shared" si="5"/>
        <v>224</v>
      </c>
    </row>
    <row r="44" spans="1:8" x14ac:dyDescent="0.25">
      <c r="A44">
        <v>4000</v>
      </c>
      <c r="B44">
        <v>64</v>
      </c>
      <c r="G44">
        <f t="shared" si="5"/>
        <v>256</v>
      </c>
    </row>
    <row r="45" spans="1:8" x14ac:dyDescent="0.25">
      <c r="A45">
        <v>2200</v>
      </c>
      <c r="B45">
        <v>64</v>
      </c>
      <c r="G45">
        <f t="shared" si="5"/>
        <v>140.80000000000001</v>
      </c>
    </row>
  </sheetData>
  <mergeCells count="10">
    <mergeCell ref="A39:D40"/>
    <mergeCell ref="G39:H40"/>
    <mergeCell ref="A25:D26"/>
    <mergeCell ref="G25:H26"/>
    <mergeCell ref="A1:D1"/>
    <mergeCell ref="A2:B2"/>
    <mergeCell ref="C2:D2"/>
    <mergeCell ref="G1:H1"/>
    <mergeCell ref="A10:D11"/>
    <mergeCell ref="G10:H1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44"/>
  <sheetViews>
    <sheetView zoomScaleNormal="100" workbookViewId="0">
      <selection activeCell="N2" sqref="N2"/>
    </sheetView>
  </sheetViews>
  <sheetFormatPr defaultRowHeight="15" x14ac:dyDescent="0.25"/>
  <cols>
    <col min="8" max="8" width="2.85546875" customWidth="1"/>
    <col min="9" max="9" width="6.28515625" customWidth="1"/>
    <col min="10" max="10" width="15.7109375" customWidth="1"/>
    <col min="11" max="11" width="9.5703125" customWidth="1"/>
    <col min="12" max="12" width="8.5703125" customWidth="1"/>
    <col min="13" max="13" width="8.42578125" customWidth="1"/>
    <col min="14" max="14" width="8.5703125" customWidth="1"/>
    <col min="15" max="15" width="9.7109375" customWidth="1"/>
  </cols>
  <sheetData>
    <row r="1" spans="1:15" ht="39.950000000000003" customHeight="1" thickBot="1" x14ac:dyDescent="0.75">
      <c r="A1" s="55" t="s">
        <v>128</v>
      </c>
      <c r="B1" s="56"/>
      <c r="C1" s="56"/>
      <c r="D1" s="56"/>
      <c r="E1" s="56"/>
      <c r="F1" s="57" t="s">
        <v>127</v>
      </c>
      <c r="G1" s="58"/>
      <c r="H1" s="1"/>
      <c r="I1" s="25" t="s">
        <v>129</v>
      </c>
      <c r="J1" s="1"/>
      <c r="L1" s="59" t="s">
        <v>48</v>
      </c>
      <c r="M1" s="59"/>
      <c r="N1" s="60" t="e">
        <f>Stats_Cessna!#REF!</f>
        <v>#REF!</v>
      </c>
      <c r="O1" s="60"/>
    </row>
    <row r="2" spans="1:15" ht="15.75" thickTop="1" x14ac:dyDescent="0.25">
      <c r="A2" s="88"/>
      <c r="B2" s="89"/>
      <c r="C2" s="89"/>
      <c r="D2" s="89"/>
      <c r="E2" s="89"/>
      <c r="F2" s="89"/>
      <c r="G2" s="90"/>
      <c r="I2" s="13" t="s">
        <v>49</v>
      </c>
      <c r="J2" s="14"/>
      <c r="K2" s="14"/>
      <c r="L2" s="14"/>
      <c r="M2" s="14"/>
      <c r="N2" s="14" t="e">
        <f>Stats_Cessna!#REF!</f>
        <v>#REF!</v>
      </c>
      <c r="O2" s="15" t="s">
        <v>58</v>
      </c>
    </row>
    <row r="3" spans="1:15" ht="17.25" customHeight="1" x14ac:dyDescent="0.25">
      <c r="I3" s="8" t="s">
        <v>50</v>
      </c>
      <c r="N3" t="e">
        <f>Stats_Cessna!#REF!</f>
        <v>#REF!</v>
      </c>
      <c r="O3" s="9" t="s">
        <v>58</v>
      </c>
    </row>
    <row r="4" spans="1:15" ht="15" customHeight="1" x14ac:dyDescent="0.25">
      <c r="I4" s="16" t="s">
        <v>51</v>
      </c>
      <c r="J4" s="17"/>
      <c r="K4" s="17"/>
      <c r="L4" s="17"/>
      <c r="M4" s="17"/>
      <c r="N4" s="17" t="e">
        <f>Stats_Cessna!#REF!</f>
        <v>#REF!</v>
      </c>
      <c r="O4" s="18" t="s">
        <v>58</v>
      </c>
    </row>
    <row r="5" spans="1:15" x14ac:dyDescent="0.25">
      <c r="I5" s="8" t="s">
        <v>52</v>
      </c>
      <c r="N5" t="e">
        <f>Stats_Cessna!#REF!</f>
        <v>#REF!</v>
      </c>
      <c r="O5" s="9" t="s">
        <v>58</v>
      </c>
    </row>
    <row r="6" spans="1:15" x14ac:dyDescent="0.25">
      <c r="I6" s="16" t="s">
        <v>55</v>
      </c>
      <c r="J6" s="17"/>
      <c r="K6" s="17"/>
      <c r="L6" s="17"/>
      <c r="M6" s="17"/>
      <c r="N6" s="17" t="e">
        <f>Stats_Cessna!#REF!</f>
        <v>#REF!</v>
      </c>
      <c r="O6" s="18" t="s">
        <v>59</v>
      </c>
    </row>
    <row r="7" spans="1:15" x14ac:dyDescent="0.25">
      <c r="I7" s="8" t="s">
        <v>56</v>
      </c>
      <c r="N7" t="e">
        <f>Stats_Cessna!#REF!</f>
        <v>#REF!</v>
      </c>
      <c r="O7" s="9" t="s">
        <v>60</v>
      </c>
    </row>
    <row r="8" spans="1:15" x14ac:dyDescent="0.25">
      <c r="I8" s="16" t="s">
        <v>53</v>
      </c>
      <c r="J8" s="17"/>
      <c r="K8" s="17"/>
      <c r="L8" s="17"/>
      <c r="M8" s="17"/>
      <c r="N8" s="17" t="e">
        <f>N2-N5</f>
        <v>#REF!</v>
      </c>
      <c r="O8" s="18" t="s">
        <v>58</v>
      </c>
    </row>
    <row r="9" spans="1:15" x14ac:dyDescent="0.25">
      <c r="I9" s="8" t="s">
        <v>54</v>
      </c>
      <c r="N9" t="e">
        <f>N8-(N10*6)</f>
        <v>#REF!</v>
      </c>
      <c r="O9" s="9" t="s">
        <v>58</v>
      </c>
    </row>
    <row r="10" spans="1:15" x14ac:dyDescent="0.25">
      <c r="I10" s="16" t="s">
        <v>57</v>
      </c>
      <c r="J10" s="17"/>
      <c r="K10" s="17"/>
      <c r="L10" s="17"/>
      <c r="M10" s="17"/>
      <c r="N10" s="17" t="e">
        <f>Stats_Cessna!#REF!</f>
        <v>#REF!</v>
      </c>
      <c r="O10" s="18" t="s">
        <v>61</v>
      </c>
    </row>
    <row r="11" spans="1:15" ht="15.75" thickBot="1" x14ac:dyDescent="0.3">
      <c r="I11" s="10" t="s">
        <v>80</v>
      </c>
      <c r="J11" s="11"/>
      <c r="K11" s="11"/>
      <c r="L11" s="11"/>
      <c r="M11" s="11"/>
      <c r="N11" s="11" t="e">
        <f>Stats_Cessna!#REF!</f>
        <v>#REF!</v>
      </c>
      <c r="O11" s="12" t="s">
        <v>58</v>
      </c>
    </row>
    <row r="12" spans="1:15" ht="8.25" customHeight="1" thickTop="1" x14ac:dyDescent="0.25"/>
    <row r="13" spans="1:15" x14ac:dyDescent="0.25">
      <c r="I13" s="53" t="s">
        <v>62</v>
      </c>
      <c r="J13" s="53"/>
      <c r="K13" s="53"/>
      <c r="L13" s="53"/>
      <c r="M13" s="53"/>
      <c r="N13" s="53"/>
      <c r="O13" s="53"/>
    </row>
    <row r="14" spans="1:15" ht="12" customHeight="1" x14ac:dyDescent="0.25">
      <c r="I14" s="54"/>
      <c r="J14" s="54"/>
      <c r="K14" s="54"/>
      <c r="L14" s="54"/>
      <c r="M14" s="54"/>
      <c r="N14" s="54"/>
      <c r="O14" s="54"/>
    </row>
    <row r="15" spans="1:15" ht="30" x14ac:dyDescent="0.25">
      <c r="I15" s="64" t="s">
        <v>63</v>
      </c>
      <c r="J15" s="65"/>
      <c r="K15" s="65"/>
      <c r="L15" s="65"/>
      <c r="M15" s="19" t="s">
        <v>46</v>
      </c>
      <c r="N15" s="19" t="s">
        <v>47</v>
      </c>
      <c r="O15" s="19" t="s">
        <v>82</v>
      </c>
    </row>
    <row r="16" spans="1:15" ht="20.100000000000001" customHeight="1" thickBot="1" x14ac:dyDescent="0.3">
      <c r="I16" s="20" t="s">
        <v>52</v>
      </c>
      <c r="J16" s="21"/>
      <c r="K16" s="21"/>
      <c r="L16" s="28"/>
      <c r="M16" s="22" t="e">
        <f>N7</f>
        <v>#REF!</v>
      </c>
      <c r="N16" s="27" t="e">
        <f>N5</f>
        <v>#REF!</v>
      </c>
      <c r="O16" s="23" t="e">
        <f>N6/1000</f>
        <v>#REF!</v>
      </c>
    </row>
    <row r="17" spans="1:15" ht="20.100000000000001" customHeight="1" thickTop="1" thickBot="1" x14ac:dyDescent="0.3">
      <c r="I17" s="20" t="s">
        <v>64</v>
      </c>
      <c r="J17" s="21"/>
      <c r="K17" s="28"/>
      <c r="L17" s="30"/>
      <c r="M17" s="26" t="e">
        <f>Stats_Cessna!#REF!</f>
        <v>#REF!</v>
      </c>
      <c r="N17" s="27" t="str">
        <f>IF(ISBLANK(L17),"",$L17*6)</f>
        <v/>
      </c>
      <c r="O17" s="23" t="str">
        <f>IF(ISBLANK(L17),"",($N17*$M17/1000))</f>
        <v/>
      </c>
    </row>
    <row r="18" spans="1:15" ht="20.100000000000001" customHeight="1" thickTop="1" thickBot="1" x14ac:dyDescent="0.3">
      <c r="I18" s="20" t="s">
        <v>65</v>
      </c>
      <c r="J18" s="21"/>
      <c r="K18" s="30"/>
      <c r="L18" s="30"/>
      <c r="M18" s="26" t="e">
        <f>Stats_Cessna!#REF!</f>
        <v>#REF!</v>
      </c>
      <c r="N18" s="27" t="str">
        <f>IF(AND(ISBLANK(K18),ISBLANK(L18)),"",$K18+$L18)</f>
        <v/>
      </c>
      <c r="O18" s="23" t="str">
        <f>IF(AND(ISBLANK(K18),ISBLANK(L18)),"",($N18*$M18/1000))</f>
        <v/>
      </c>
    </row>
    <row r="19" spans="1:15" ht="20.100000000000001" customHeight="1" thickTop="1" thickBot="1" x14ac:dyDescent="0.3">
      <c r="I19" s="20" t="s">
        <v>66</v>
      </c>
      <c r="J19" s="21"/>
      <c r="K19" s="30"/>
      <c r="L19" s="30"/>
      <c r="M19" s="26" t="e">
        <f>Stats_Cessna!#REF!</f>
        <v>#REF!</v>
      </c>
      <c r="N19" s="27" t="str">
        <f>IF(AND(ISBLANK(K19),ISBLANK(L19)),"",$K19+$L19)</f>
        <v/>
      </c>
      <c r="O19" s="23" t="str">
        <f>IF(AND(ISBLANK(K19),ISBLANK(L19)),"",($N19*$M19/1000))</f>
        <v/>
      </c>
    </row>
    <row r="20" spans="1:15" ht="20.100000000000001" customHeight="1" thickTop="1" thickBot="1" x14ac:dyDescent="0.3">
      <c r="I20" s="20" t="s">
        <v>67</v>
      </c>
      <c r="J20" s="21"/>
      <c r="K20" s="29"/>
      <c r="L20" s="30"/>
      <c r="M20" s="26" t="e">
        <f>Stats_Cessna!#REF!</f>
        <v>#REF!</v>
      </c>
      <c r="N20" s="27" t="str">
        <f>IF(ISBLANK(L20),"",$L20)</f>
        <v/>
      </c>
      <c r="O20" s="23" t="str">
        <f>IF(ISBLANK(L20),"",($N20*$M20/1000))</f>
        <v/>
      </c>
    </row>
    <row r="21" spans="1:15" ht="20.100000000000001" customHeight="1" thickTop="1" thickBot="1" x14ac:dyDescent="0.3">
      <c r="I21" s="20" t="s">
        <v>68</v>
      </c>
      <c r="J21" s="21"/>
      <c r="K21" s="21"/>
      <c r="L21" s="30"/>
      <c r="M21" s="26" t="e">
        <f>Stats_Cessna!#REF!</f>
        <v>#REF!</v>
      </c>
      <c r="N21" s="31" t="str">
        <f>IF(ISBLANK(L21),"",$L21)</f>
        <v/>
      </c>
      <c r="O21" s="32" t="str">
        <f>IF(ISBLANK(L21),"",($N21*$M21/1000))</f>
        <v/>
      </c>
    </row>
    <row r="22" spans="1:15" ht="20.100000000000001" customHeight="1" thickTop="1" x14ac:dyDescent="0.25">
      <c r="I22" s="24" t="s">
        <v>69</v>
      </c>
      <c r="J22" s="21"/>
      <c r="K22" s="21"/>
      <c r="L22" s="29"/>
      <c r="M22" s="21"/>
      <c r="N22" s="27" t="str">
        <f>IF(SUM(N17:N21)=0,"",SUM(N16:N21))</f>
        <v/>
      </c>
      <c r="O22" s="23" t="str">
        <f>IF(SUM(O17:O21)=0,"",SUM(O16:O21))</f>
        <v/>
      </c>
    </row>
    <row r="23" spans="1:15" ht="20.100000000000001" customHeight="1" thickBot="1" x14ac:dyDescent="0.3">
      <c r="I23" s="20" t="s">
        <v>70</v>
      </c>
      <c r="J23" s="21"/>
      <c r="K23" s="21"/>
      <c r="L23" s="21"/>
      <c r="M23" s="26"/>
      <c r="N23" s="35">
        <v>-8.5</v>
      </c>
      <c r="O23" s="36" t="e">
        <f>N23*M17/1000</f>
        <v>#REF!</v>
      </c>
    </row>
    <row r="24" spans="1:15" ht="20.100000000000001" customHeight="1" thickTop="1" thickBot="1" x14ac:dyDescent="0.3">
      <c r="I24" s="24" t="s">
        <v>76</v>
      </c>
      <c r="J24" s="21"/>
      <c r="K24" s="21"/>
      <c r="L24" s="21"/>
      <c r="M24" s="21"/>
      <c r="N24" s="33" t="str">
        <f>IF(SUM(N17:N21)=0,"",N22+N23)</f>
        <v/>
      </c>
      <c r="O24" s="34" t="str">
        <f>IF(SUM(O17:O21)=0,"",O22+O23)</f>
        <v/>
      </c>
    </row>
    <row r="25" spans="1:15" ht="20.100000000000001" customHeight="1" thickTop="1" thickBot="1" x14ac:dyDescent="0.3">
      <c r="I25" s="66" t="s">
        <v>72</v>
      </c>
      <c r="J25" s="67"/>
      <c r="K25" s="67"/>
      <c r="L25" s="68"/>
      <c r="M25" s="67"/>
      <c r="N25" s="69"/>
      <c r="O25" s="70"/>
    </row>
    <row r="26" spans="1:15" ht="20.100000000000001" customHeight="1" thickTop="1" thickBot="1" x14ac:dyDescent="0.3">
      <c r="I26" s="20" t="s">
        <v>71</v>
      </c>
      <c r="J26" s="21"/>
      <c r="K26" s="21"/>
      <c r="L26" s="30"/>
      <c r="M26" s="21" t="e">
        <f>Stats_Cessna!#REF!</f>
        <v>#REF!</v>
      </c>
      <c r="N26" s="31" t="str">
        <f>IF(ISBLANK(L26),"",$L26*6)</f>
        <v/>
      </c>
      <c r="O26" s="32" t="str">
        <f>IF(ISBLANK(L26),"",($N26*$M26/1000))</f>
        <v/>
      </c>
    </row>
    <row r="27" spans="1:15" ht="20.100000000000001" customHeight="1" thickTop="1" thickBot="1" x14ac:dyDescent="0.3">
      <c r="I27" s="24" t="s">
        <v>77</v>
      </c>
      <c r="J27" s="21"/>
      <c r="K27" s="21"/>
      <c r="L27" s="29"/>
      <c r="M27" s="21"/>
      <c r="N27" s="33" t="str">
        <f>IF(ISBLANK(L26),"",N24-(L26*6))</f>
        <v/>
      </c>
      <c r="O27" s="34" t="str">
        <f>IF(ISBLANK(L26),"",O24-(L26*6*M26/1000))</f>
        <v/>
      </c>
    </row>
    <row r="28" spans="1:15" ht="20.100000000000001" customHeight="1" thickTop="1" thickBot="1" x14ac:dyDescent="0.3">
      <c r="A28" t="s">
        <v>9</v>
      </c>
      <c r="B28" s="2" t="e">
        <f>O22-O17</f>
        <v>#VALUE!</v>
      </c>
      <c r="C28" s="3" t="e">
        <f>N22-N17</f>
        <v>#VALUE!</v>
      </c>
      <c r="I28" s="66" t="s">
        <v>73</v>
      </c>
      <c r="J28" s="67"/>
      <c r="K28" s="67"/>
      <c r="L28" s="67"/>
      <c r="M28" s="67"/>
      <c r="N28" s="71"/>
      <c r="O28" s="72"/>
    </row>
    <row r="29" spans="1:15" ht="20.100000000000001" customHeight="1" thickTop="1" thickBot="1" x14ac:dyDescent="0.3">
      <c r="A29" t="s">
        <v>4</v>
      </c>
      <c r="B29" s="2" t="str">
        <f>O27</f>
        <v/>
      </c>
      <c r="C29" s="3" t="str">
        <f>N27</f>
        <v/>
      </c>
      <c r="I29" s="24" t="s">
        <v>78</v>
      </c>
      <c r="J29" s="21"/>
      <c r="K29" s="21"/>
      <c r="L29" s="21"/>
      <c r="M29" s="21"/>
      <c r="N29" s="33" t="str">
        <f>IF(ISBLANK(L17),"",N22-N17)</f>
        <v/>
      </c>
      <c r="O29" s="34" t="str">
        <f>IF(ISBLANK(L17),"",O22-O17)</f>
        <v/>
      </c>
    </row>
    <row r="30" spans="1:15" ht="20.100000000000001" customHeight="1" thickTop="1" x14ac:dyDescent="0.25">
      <c r="A30" t="s">
        <v>3</v>
      </c>
      <c r="B30" s="2" t="str">
        <f>O24</f>
        <v/>
      </c>
      <c r="C30" s="3" t="str">
        <f>N24</f>
        <v/>
      </c>
      <c r="I30" s="66" t="s">
        <v>74</v>
      </c>
      <c r="J30" s="67"/>
      <c r="K30" s="67"/>
      <c r="L30" s="67"/>
      <c r="M30" s="67"/>
      <c r="N30" s="69"/>
      <c r="O30" s="70"/>
    </row>
    <row r="31" spans="1:15" ht="26.25" customHeight="1" x14ac:dyDescent="0.25">
      <c r="I31" s="73" t="s">
        <v>75</v>
      </c>
      <c r="J31" s="74"/>
      <c r="K31" s="74"/>
      <c r="L31" s="74"/>
      <c r="M31" s="74"/>
      <c r="N31" s="74"/>
      <c r="O31" s="75"/>
    </row>
    <row r="44" spans="14:16" x14ac:dyDescent="0.25">
      <c r="N44" s="2"/>
      <c r="P44" s="2"/>
    </row>
  </sheetData>
  <mergeCells count="11">
    <mergeCell ref="A2:G2"/>
    <mergeCell ref="N1:O1"/>
    <mergeCell ref="I13:O14"/>
    <mergeCell ref="I31:O31"/>
    <mergeCell ref="I15:L15"/>
    <mergeCell ref="I25:O25"/>
    <mergeCell ref="I28:O28"/>
    <mergeCell ref="I30:O30"/>
    <mergeCell ref="A1:E1"/>
    <mergeCell ref="F1:G1"/>
    <mergeCell ref="L1:M1"/>
  </mergeCells>
  <conditionalFormatting sqref="O27">
    <cfRule type="cellIs" dxfId="0" priority="5" operator="greaterThan">
      <formula>N27*47.3/1000</formula>
    </cfRule>
  </conditionalFormatting>
  <pageMargins left="0.2" right="0.2" top="0.25" bottom="0.25" header="0.3" footer="0.3"/>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7"/>
  <sheetViews>
    <sheetView workbookViewId="0">
      <selection activeCell="N2" sqref="N2"/>
    </sheetView>
  </sheetViews>
  <sheetFormatPr defaultRowHeight="15" x14ac:dyDescent="0.25"/>
  <cols>
    <col min="1" max="1" width="12" style="39" bestFit="1" customWidth="1"/>
    <col min="2" max="2" width="109.7109375" customWidth="1"/>
    <col min="3" max="3" width="18.5703125" bestFit="1" customWidth="1"/>
  </cols>
  <sheetData>
    <row r="1" spans="1:3" s="37" customFormat="1" x14ac:dyDescent="0.25">
      <c r="A1" s="38" t="s">
        <v>94</v>
      </c>
      <c r="B1" s="37" t="s">
        <v>95</v>
      </c>
      <c r="C1" s="37" t="s">
        <v>99</v>
      </c>
    </row>
    <row r="2" spans="1:3" x14ac:dyDescent="0.25">
      <c r="A2" s="39">
        <v>41531</v>
      </c>
      <c r="B2" t="s">
        <v>96</v>
      </c>
      <c r="C2" t="s">
        <v>100</v>
      </c>
    </row>
    <row r="3" spans="1:3" x14ac:dyDescent="0.25">
      <c r="A3" s="39">
        <v>41622</v>
      </c>
      <c r="B3" t="s">
        <v>97</v>
      </c>
      <c r="C3" t="s">
        <v>100</v>
      </c>
    </row>
    <row r="4" spans="1:3" x14ac:dyDescent="0.25">
      <c r="A4" s="39">
        <v>41623</v>
      </c>
      <c r="B4" t="s">
        <v>98</v>
      </c>
      <c r="C4" t="s">
        <v>100</v>
      </c>
    </row>
    <row r="5" spans="1:3" x14ac:dyDescent="0.25">
      <c r="A5" s="39">
        <v>42162</v>
      </c>
      <c r="B5" t="s">
        <v>102</v>
      </c>
      <c r="C5" t="s">
        <v>100</v>
      </c>
    </row>
    <row r="6" spans="1:3" x14ac:dyDescent="0.25">
      <c r="A6" s="39">
        <v>42233</v>
      </c>
      <c r="B6" t="s">
        <v>105</v>
      </c>
      <c r="C6" t="s">
        <v>100</v>
      </c>
    </row>
    <row r="7" spans="1:3" x14ac:dyDescent="0.25">
      <c r="A7" s="39">
        <v>43103</v>
      </c>
      <c r="B7" t="s">
        <v>120</v>
      </c>
      <c r="C7" t="s">
        <v>100</v>
      </c>
    </row>
    <row r="8" spans="1:3" x14ac:dyDescent="0.25">
      <c r="A8" s="39">
        <v>43558</v>
      </c>
      <c r="B8" t="s">
        <v>121</v>
      </c>
      <c r="C8" t="s">
        <v>100</v>
      </c>
    </row>
    <row r="9" spans="1:3" x14ac:dyDescent="0.25">
      <c r="A9" s="39">
        <v>44512</v>
      </c>
      <c r="B9" t="s">
        <v>122</v>
      </c>
      <c r="C9" t="s">
        <v>123</v>
      </c>
    </row>
    <row r="10" spans="1:3" x14ac:dyDescent="0.25">
      <c r="A10" s="39">
        <v>44632</v>
      </c>
      <c r="B10" t="s">
        <v>126</v>
      </c>
      <c r="C10" t="s">
        <v>123</v>
      </c>
    </row>
    <row r="11" spans="1:3" x14ac:dyDescent="0.25">
      <c r="A11" s="39">
        <v>44644</v>
      </c>
      <c r="B11" t="s">
        <v>130</v>
      </c>
      <c r="C11" t="s">
        <v>123</v>
      </c>
    </row>
    <row r="12" spans="1:3" x14ac:dyDescent="0.25">
      <c r="A12" s="39">
        <v>44720</v>
      </c>
      <c r="B12" t="s">
        <v>131</v>
      </c>
      <c r="C12" t="s">
        <v>123</v>
      </c>
    </row>
    <row r="13" spans="1:3" x14ac:dyDescent="0.25">
      <c r="A13" s="39">
        <v>44759</v>
      </c>
      <c r="B13" t="s">
        <v>133</v>
      </c>
      <c r="C13" t="s">
        <v>123</v>
      </c>
    </row>
    <row r="14" spans="1:3" x14ac:dyDescent="0.25">
      <c r="A14" s="39">
        <v>44780</v>
      </c>
      <c r="B14" t="s">
        <v>134</v>
      </c>
      <c r="C14" t="s">
        <v>123</v>
      </c>
    </row>
    <row r="15" spans="1:3" x14ac:dyDescent="0.25">
      <c r="A15" s="39">
        <v>44783</v>
      </c>
      <c r="B15" t="s">
        <v>140</v>
      </c>
      <c r="C15" t="s">
        <v>123</v>
      </c>
    </row>
    <row r="16" spans="1:3" x14ac:dyDescent="0.25">
      <c r="A16" s="39">
        <v>45149</v>
      </c>
      <c r="B16" t="s">
        <v>141</v>
      </c>
      <c r="C16" t="s">
        <v>123</v>
      </c>
    </row>
    <row r="17" spans="1:3" x14ac:dyDescent="0.25">
      <c r="A17" s="39">
        <v>45409</v>
      </c>
      <c r="B17" t="s">
        <v>145</v>
      </c>
      <c r="C17" t="s">
        <v>123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44"/>
  <sheetViews>
    <sheetView workbookViewId="0">
      <selection activeCell="N2" sqref="N2"/>
    </sheetView>
  </sheetViews>
  <sheetFormatPr defaultRowHeight="15" x14ac:dyDescent="0.25"/>
  <cols>
    <col min="8" max="8" width="2.85546875" customWidth="1"/>
    <col min="9" max="9" width="6.28515625" customWidth="1"/>
    <col min="10" max="10" width="15.7109375" customWidth="1"/>
    <col min="11" max="11" width="9.5703125" customWidth="1"/>
    <col min="12" max="12" width="8.5703125" customWidth="1"/>
    <col min="13" max="13" width="8.42578125" customWidth="1"/>
    <col min="14" max="14" width="8.5703125" customWidth="1"/>
    <col min="15" max="15" width="9.7109375" customWidth="1"/>
  </cols>
  <sheetData>
    <row r="1" spans="1:15" ht="39.950000000000003" customHeight="1" thickBot="1" x14ac:dyDescent="0.75">
      <c r="A1" s="55" t="s">
        <v>79</v>
      </c>
      <c r="B1" s="56"/>
      <c r="C1" s="56"/>
      <c r="D1" s="56"/>
      <c r="E1" s="56"/>
      <c r="F1" s="57" t="s">
        <v>12</v>
      </c>
      <c r="G1" s="58"/>
      <c r="H1" s="1"/>
      <c r="I1" s="25" t="s">
        <v>93</v>
      </c>
      <c r="J1" s="1"/>
      <c r="L1" s="59" t="s">
        <v>48</v>
      </c>
      <c r="M1" s="59"/>
      <c r="N1" s="60">
        <f>Stats_Cessna!E3</f>
        <v>43937</v>
      </c>
      <c r="O1" s="60"/>
    </row>
    <row r="2" spans="1:15" ht="15.75" thickTop="1" x14ac:dyDescent="0.25">
      <c r="A2" s="82"/>
      <c r="B2" s="83"/>
      <c r="C2" s="83"/>
      <c r="D2" s="83"/>
      <c r="E2" s="83"/>
      <c r="F2" s="83"/>
      <c r="G2" s="84"/>
      <c r="I2" s="13" t="s">
        <v>49</v>
      </c>
      <c r="J2" s="14"/>
      <c r="K2" s="14"/>
      <c r="L2" s="14"/>
      <c r="M2" s="14"/>
      <c r="N2" s="14">
        <f>Stats_Cessna!F3</f>
        <v>2558</v>
      </c>
      <c r="O2" s="15" t="s">
        <v>58</v>
      </c>
    </row>
    <row r="3" spans="1:15" x14ac:dyDescent="0.25">
      <c r="I3" s="8" t="s">
        <v>50</v>
      </c>
      <c r="N3">
        <f>Stats_Cessna!G3</f>
        <v>2550</v>
      </c>
      <c r="O3" s="9" t="s">
        <v>58</v>
      </c>
    </row>
    <row r="4" spans="1:15" x14ac:dyDescent="0.25">
      <c r="I4" s="16" t="s">
        <v>51</v>
      </c>
      <c r="J4" s="17"/>
      <c r="K4" s="17"/>
      <c r="L4" s="17"/>
      <c r="M4" s="17"/>
      <c r="N4" s="17">
        <f>Stats_Cessna!H3</f>
        <v>2550</v>
      </c>
      <c r="O4" s="18" t="s">
        <v>58</v>
      </c>
    </row>
    <row r="5" spans="1:15" x14ac:dyDescent="0.25">
      <c r="I5" s="8" t="s">
        <v>52</v>
      </c>
      <c r="N5">
        <f>Stats_Cessna!I3</f>
        <v>1540.93</v>
      </c>
      <c r="O5" s="9" t="s">
        <v>58</v>
      </c>
    </row>
    <row r="6" spans="1:15" x14ac:dyDescent="0.25">
      <c r="I6" s="16" t="s">
        <v>55</v>
      </c>
      <c r="J6" s="17"/>
      <c r="K6" s="17"/>
      <c r="L6" s="17"/>
      <c r="M6" s="17"/>
      <c r="N6" s="17">
        <f>Stats_Cessna!K3</f>
        <v>59759.040000000001</v>
      </c>
      <c r="O6" s="18" t="s">
        <v>59</v>
      </c>
    </row>
    <row r="7" spans="1:15" x14ac:dyDescent="0.25">
      <c r="I7" s="8" t="s">
        <v>56</v>
      </c>
      <c r="N7">
        <f>Stats_Cessna!J3</f>
        <v>38.78</v>
      </c>
      <c r="O7" s="9" t="s">
        <v>60</v>
      </c>
    </row>
    <row r="8" spans="1:15" x14ac:dyDescent="0.25">
      <c r="I8" s="16" t="s">
        <v>53</v>
      </c>
      <c r="J8" s="17"/>
      <c r="K8" s="17"/>
      <c r="L8" s="17"/>
      <c r="M8" s="17"/>
      <c r="N8" s="17">
        <f>N2-N5</f>
        <v>1017.0699999999999</v>
      </c>
      <c r="O8" s="18" t="s">
        <v>58</v>
      </c>
    </row>
    <row r="9" spans="1:15" x14ac:dyDescent="0.25">
      <c r="I9" s="8" t="s">
        <v>54</v>
      </c>
      <c r="N9">
        <f>N8-(N10*6)</f>
        <v>777.06999999999994</v>
      </c>
      <c r="O9" s="9" t="s">
        <v>58</v>
      </c>
    </row>
    <row r="10" spans="1:15" x14ac:dyDescent="0.25">
      <c r="I10" s="16" t="s">
        <v>57</v>
      </c>
      <c r="J10" s="17"/>
      <c r="K10" s="17"/>
      <c r="L10" s="17"/>
      <c r="M10" s="17"/>
      <c r="N10" s="17">
        <f>Stats_Cessna!M3</f>
        <v>40</v>
      </c>
      <c r="O10" s="18" t="s">
        <v>61</v>
      </c>
    </row>
    <row r="11" spans="1:15" ht="15.75" thickBot="1" x14ac:dyDescent="0.3">
      <c r="I11" s="10" t="s">
        <v>81</v>
      </c>
      <c r="J11" s="11"/>
      <c r="K11" s="11"/>
      <c r="L11" s="11"/>
      <c r="M11" s="11"/>
      <c r="N11" s="11">
        <v>45.5</v>
      </c>
      <c r="O11" s="12" t="s">
        <v>58</v>
      </c>
    </row>
    <row r="12" spans="1:15" ht="9" customHeight="1" thickTop="1" x14ac:dyDescent="0.25"/>
    <row r="13" spans="1:15" x14ac:dyDescent="0.25">
      <c r="I13" s="53" t="s">
        <v>62</v>
      </c>
      <c r="J13" s="53"/>
      <c r="K13" s="53"/>
      <c r="L13" s="53"/>
      <c r="M13" s="53"/>
      <c r="N13" s="53"/>
      <c r="O13" s="53"/>
    </row>
    <row r="14" spans="1:15" x14ac:dyDescent="0.25">
      <c r="I14" s="54"/>
      <c r="J14" s="54"/>
      <c r="K14" s="54"/>
      <c r="L14" s="54"/>
      <c r="M14" s="54"/>
      <c r="N14" s="54"/>
      <c r="O14" s="54"/>
    </row>
    <row r="15" spans="1:15" ht="30" x14ac:dyDescent="0.25">
      <c r="I15" s="64" t="s">
        <v>63</v>
      </c>
      <c r="J15" s="65"/>
      <c r="K15" s="65"/>
      <c r="L15" s="65"/>
      <c r="M15" s="19" t="s">
        <v>46</v>
      </c>
      <c r="N15" s="19" t="s">
        <v>47</v>
      </c>
      <c r="O15" s="19" t="s">
        <v>82</v>
      </c>
    </row>
    <row r="16" spans="1:15" ht="20.100000000000001" customHeight="1" thickBot="1" x14ac:dyDescent="0.3">
      <c r="I16" s="20" t="s">
        <v>52</v>
      </c>
      <c r="J16" s="21"/>
      <c r="K16" s="21"/>
      <c r="L16" s="28"/>
      <c r="M16" s="22">
        <f>N7</f>
        <v>38.78</v>
      </c>
      <c r="N16" s="27">
        <f>N5</f>
        <v>1540.93</v>
      </c>
      <c r="O16" s="23">
        <f>N6/1000</f>
        <v>59.759039999999999</v>
      </c>
    </row>
    <row r="17" spans="1:15" ht="20.100000000000001" customHeight="1" thickTop="1" thickBot="1" x14ac:dyDescent="0.3">
      <c r="I17" s="20" t="s">
        <v>64</v>
      </c>
      <c r="J17" s="21"/>
      <c r="K17" s="28"/>
      <c r="L17" s="30"/>
      <c r="M17" s="26">
        <f>Stats_Cessna!O3</f>
        <v>48</v>
      </c>
      <c r="N17" s="27" t="str">
        <f>IF(ISBLANK(L17),"",$L17*6)</f>
        <v/>
      </c>
      <c r="O17" s="23" t="str">
        <f>IF(ISBLANK(L17),"",($N17*$M17/1000))</f>
        <v/>
      </c>
    </row>
    <row r="18" spans="1:15" ht="20.100000000000001" customHeight="1" thickTop="1" thickBot="1" x14ac:dyDescent="0.3">
      <c r="I18" s="20" t="s">
        <v>65</v>
      </c>
      <c r="J18" s="21"/>
      <c r="K18" s="30"/>
      <c r="L18" s="30"/>
      <c r="M18" s="26">
        <f>Stats_Cessna!P3</f>
        <v>37</v>
      </c>
      <c r="N18" s="27" t="str">
        <f>IF(AND(ISBLANK(K18),ISBLANK(L18)),"",$K18+$L18)</f>
        <v/>
      </c>
      <c r="O18" s="23" t="str">
        <f>IF(AND(ISBLANK(K18),ISBLANK(L18)),"",($N18*$M18/1000))</f>
        <v/>
      </c>
    </row>
    <row r="19" spans="1:15" ht="20.100000000000001" customHeight="1" thickTop="1" thickBot="1" x14ac:dyDescent="0.3">
      <c r="I19" s="20" t="s">
        <v>66</v>
      </c>
      <c r="J19" s="21"/>
      <c r="K19" s="30"/>
      <c r="L19" s="30"/>
      <c r="M19" s="26">
        <f>Stats_Cessna!Q3</f>
        <v>73</v>
      </c>
      <c r="N19" s="27" t="str">
        <f>IF(AND(ISBLANK(K19),ISBLANK(L19)),"",$K19+$L19)</f>
        <v/>
      </c>
      <c r="O19" s="23" t="str">
        <f>IF(AND(ISBLANK(K19),ISBLANK(L19)),"",($N19*$M19/1000))</f>
        <v/>
      </c>
    </row>
    <row r="20" spans="1:15" ht="20.100000000000001" customHeight="1" thickTop="1" thickBot="1" x14ac:dyDescent="0.3">
      <c r="I20" s="20" t="s">
        <v>67</v>
      </c>
      <c r="J20" s="21"/>
      <c r="K20" s="29"/>
      <c r="L20" s="30"/>
      <c r="M20" s="26">
        <f>Stats_Cessna!R3</f>
        <v>95</v>
      </c>
      <c r="N20" s="27" t="str">
        <f>IF(ISBLANK(L20),"",$L20)</f>
        <v/>
      </c>
      <c r="O20" s="23" t="str">
        <f>IF(ISBLANK(L20),"",($N20*$M20/1000))</f>
        <v/>
      </c>
    </row>
    <row r="21" spans="1:15" ht="20.100000000000001" customHeight="1" thickTop="1" thickBot="1" x14ac:dyDescent="0.3">
      <c r="I21" s="20" t="s">
        <v>68</v>
      </c>
      <c r="J21" s="21"/>
      <c r="K21" s="21"/>
      <c r="L21" s="30"/>
      <c r="M21" s="26">
        <f>Stats_Cessna!S3</f>
        <v>123</v>
      </c>
      <c r="N21" s="31" t="str">
        <f>IF(ISBLANK(L21),"",$L21)</f>
        <v/>
      </c>
      <c r="O21" s="32" t="str">
        <f>IF(ISBLANK(L21),"",($N21*$M21/1000))</f>
        <v/>
      </c>
    </row>
    <row r="22" spans="1:15" ht="20.100000000000001" customHeight="1" thickTop="1" x14ac:dyDescent="0.25">
      <c r="I22" s="24" t="s">
        <v>69</v>
      </c>
      <c r="J22" s="21"/>
      <c r="K22" s="21"/>
      <c r="L22" s="29"/>
      <c r="M22" s="21"/>
      <c r="N22" s="27" t="str">
        <f>IF(SUM(N17:N21)=0,"",SUM(N16:N21))</f>
        <v/>
      </c>
      <c r="O22" s="23" t="str">
        <f>IF(SUM(O17:O21)=0,"",SUM(O16:O21))</f>
        <v/>
      </c>
    </row>
    <row r="23" spans="1:15" ht="20.100000000000001" customHeight="1" thickBot="1" x14ac:dyDescent="0.3">
      <c r="I23" s="20" t="s">
        <v>70</v>
      </c>
      <c r="J23" s="21"/>
      <c r="K23" s="21"/>
      <c r="L23" s="21"/>
      <c r="M23" s="26"/>
      <c r="N23" s="35">
        <v>-8.5</v>
      </c>
      <c r="O23" s="36">
        <f>N23*M17/1000</f>
        <v>-0.40799999999999997</v>
      </c>
    </row>
    <row r="24" spans="1:15" ht="20.100000000000001" customHeight="1" thickTop="1" thickBot="1" x14ac:dyDescent="0.3">
      <c r="I24" s="24" t="s">
        <v>76</v>
      </c>
      <c r="J24" s="21"/>
      <c r="K24" s="21"/>
      <c r="L24" s="21"/>
      <c r="M24" s="21"/>
      <c r="N24" s="33" t="str">
        <f>IF(SUM(N17:N21)=0,"",N22+N23)</f>
        <v/>
      </c>
      <c r="O24" s="34" t="str">
        <f>IF(SUM(O17:O21)=0,"",O22+O23)</f>
        <v/>
      </c>
    </row>
    <row r="25" spans="1:15" ht="20.100000000000001" customHeight="1" thickTop="1" thickBot="1" x14ac:dyDescent="0.3">
      <c r="I25" s="66" t="s">
        <v>72</v>
      </c>
      <c r="J25" s="67"/>
      <c r="K25" s="67"/>
      <c r="L25" s="68"/>
      <c r="M25" s="67"/>
      <c r="N25" s="69"/>
      <c r="O25" s="70"/>
    </row>
    <row r="26" spans="1:15" ht="20.100000000000001" customHeight="1" thickTop="1" thickBot="1" x14ac:dyDescent="0.3">
      <c r="I26" s="20" t="s">
        <v>71</v>
      </c>
      <c r="J26" s="21"/>
      <c r="K26" s="21"/>
      <c r="L26" s="30"/>
      <c r="M26" s="21">
        <f>Stats_Cessna!O3</f>
        <v>48</v>
      </c>
      <c r="N26" s="31" t="str">
        <f>IF(ISBLANK(L26),"",$L26*6)</f>
        <v/>
      </c>
      <c r="O26" s="32" t="str">
        <f>IF(ISBLANK(L26),"",($N26*$M26/1000))</f>
        <v/>
      </c>
    </row>
    <row r="27" spans="1:15" ht="20.100000000000001" customHeight="1" thickTop="1" thickBot="1" x14ac:dyDescent="0.3">
      <c r="I27" s="24" t="s">
        <v>77</v>
      </c>
      <c r="J27" s="21"/>
      <c r="K27" s="21"/>
      <c r="L27" s="29"/>
      <c r="M27" s="21"/>
      <c r="N27" s="33" t="str">
        <f>IF(ISBLANK(L26),"",N24-(L26*6))</f>
        <v/>
      </c>
      <c r="O27" s="34" t="str">
        <f>IF(ISBLANK(L26),"",O24-(L26*6*M26/1000))</f>
        <v/>
      </c>
    </row>
    <row r="28" spans="1:15" ht="20.100000000000001" customHeight="1" thickTop="1" thickBot="1" x14ac:dyDescent="0.3">
      <c r="A28" t="s">
        <v>9</v>
      </c>
      <c r="B28" s="2" t="e">
        <f>O22-O17</f>
        <v>#VALUE!</v>
      </c>
      <c r="C28" s="3" t="e">
        <f>N22-N17</f>
        <v>#VALUE!</v>
      </c>
      <c r="I28" s="66" t="s">
        <v>73</v>
      </c>
      <c r="J28" s="67"/>
      <c r="K28" s="67"/>
      <c r="L28" s="67"/>
      <c r="M28" s="67"/>
      <c r="N28" s="71"/>
      <c r="O28" s="72"/>
    </row>
    <row r="29" spans="1:15" ht="20.100000000000001" customHeight="1" thickTop="1" thickBot="1" x14ac:dyDescent="0.3">
      <c r="A29" t="s">
        <v>4</v>
      </c>
      <c r="B29" s="2" t="str">
        <f>O27</f>
        <v/>
      </c>
      <c r="C29" s="3" t="str">
        <f>N27</f>
        <v/>
      </c>
      <c r="I29" s="24" t="s">
        <v>78</v>
      </c>
      <c r="J29" s="21"/>
      <c r="K29" s="21"/>
      <c r="L29" s="21"/>
      <c r="M29" s="21"/>
      <c r="N29" s="33" t="str">
        <f>IF(ISBLANK(L17),"",N22-N17)</f>
        <v/>
      </c>
      <c r="O29" s="34" t="str">
        <f>IF(ISBLANK(L17),"",O22-O17)</f>
        <v/>
      </c>
    </row>
    <row r="30" spans="1:15" ht="20.100000000000001" customHeight="1" thickTop="1" x14ac:dyDescent="0.25">
      <c r="A30" t="s">
        <v>3</v>
      </c>
      <c r="B30" s="2" t="str">
        <f>O24</f>
        <v/>
      </c>
      <c r="C30" s="3" t="str">
        <f>N24</f>
        <v/>
      </c>
      <c r="I30" s="66" t="s">
        <v>74</v>
      </c>
      <c r="J30" s="67"/>
      <c r="K30" s="67"/>
      <c r="L30" s="67"/>
      <c r="M30" s="67"/>
      <c r="N30" s="69"/>
      <c r="O30" s="70"/>
    </row>
    <row r="31" spans="1:15" ht="26.25" customHeight="1" x14ac:dyDescent="0.25">
      <c r="I31" s="73" t="s">
        <v>75</v>
      </c>
      <c r="J31" s="74"/>
      <c r="K31" s="74"/>
      <c r="L31" s="74"/>
      <c r="M31" s="74"/>
      <c r="N31" s="74"/>
      <c r="O31" s="75"/>
    </row>
    <row r="44" spans="14:16" x14ac:dyDescent="0.25">
      <c r="N44" s="2"/>
      <c r="P44" s="2"/>
    </row>
  </sheetData>
  <mergeCells count="11">
    <mergeCell ref="I28:O28"/>
    <mergeCell ref="I30:O30"/>
    <mergeCell ref="I31:O31"/>
    <mergeCell ref="N1:O1"/>
    <mergeCell ref="A2:G2"/>
    <mergeCell ref="I13:O14"/>
    <mergeCell ref="I15:L15"/>
    <mergeCell ref="I25:O25"/>
    <mergeCell ref="A1:E1"/>
    <mergeCell ref="F1:G1"/>
    <mergeCell ref="L1:M1"/>
  </mergeCells>
  <conditionalFormatting sqref="O27">
    <cfRule type="cellIs" dxfId="5" priority="1" operator="greaterThan">
      <formula>N27*47.3/1000</formula>
    </cfRule>
  </conditionalFormatting>
  <pageMargins left="0.2" right="0.2" top="0.25" bottom="0.2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46"/>
  <sheetViews>
    <sheetView workbookViewId="0">
      <selection activeCell="N2" sqref="N2"/>
    </sheetView>
  </sheetViews>
  <sheetFormatPr defaultRowHeight="15" x14ac:dyDescent="0.25"/>
  <cols>
    <col min="8" max="8" width="2.85546875" customWidth="1"/>
    <col min="9" max="9" width="6.28515625" customWidth="1"/>
    <col min="10" max="10" width="15.7109375" customWidth="1"/>
    <col min="11" max="11" width="9.5703125" customWidth="1"/>
    <col min="12" max="12" width="8.5703125" customWidth="1"/>
    <col min="13" max="13" width="8.42578125" customWidth="1"/>
    <col min="14" max="14" width="8.5703125" customWidth="1"/>
    <col min="15" max="15" width="9.7109375" customWidth="1"/>
  </cols>
  <sheetData>
    <row r="1" spans="1:15" ht="47.25" thickBot="1" x14ac:dyDescent="0.75">
      <c r="A1" s="55" t="s">
        <v>119</v>
      </c>
      <c r="B1" s="56"/>
      <c r="C1" s="56"/>
      <c r="D1" s="56"/>
      <c r="E1" s="56"/>
      <c r="F1" s="57" t="s">
        <v>118</v>
      </c>
      <c r="G1" s="58"/>
      <c r="H1" s="1"/>
      <c r="I1" s="25" t="s">
        <v>112</v>
      </c>
      <c r="J1" s="1"/>
      <c r="L1" s="59" t="s">
        <v>48</v>
      </c>
      <c r="M1" s="59"/>
      <c r="N1" s="60">
        <f>Stats_Gippsland!E2</f>
        <v>44659</v>
      </c>
      <c r="O1" s="60"/>
    </row>
    <row r="2" spans="1:15" ht="15.75" thickTop="1" x14ac:dyDescent="0.25">
      <c r="A2" s="61"/>
      <c r="B2" s="62"/>
      <c r="C2" s="62"/>
      <c r="D2" s="62"/>
      <c r="E2" s="62"/>
      <c r="F2" s="62"/>
      <c r="G2" s="63"/>
      <c r="I2" s="13" t="s">
        <v>49</v>
      </c>
      <c r="J2" s="14"/>
      <c r="K2" s="14"/>
      <c r="L2" s="14"/>
      <c r="M2" s="14"/>
      <c r="N2" s="17">
        <f>Stats_Gippsland!F2</f>
        <v>4000</v>
      </c>
      <c r="O2" s="15" t="s">
        <v>58</v>
      </c>
    </row>
    <row r="3" spans="1:15" x14ac:dyDescent="0.25">
      <c r="I3" s="8" t="s">
        <v>50</v>
      </c>
      <c r="N3">
        <f>Stats_Gippsland!G2</f>
        <v>4000</v>
      </c>
      <c r="O3" s="9" t="s">
        <v>58</v>
      </c>
    </row>
    <row r="4" spans="1:15" x14ac:dyDescent="0.25">
      <c r="I4" s="16" t="s">
        <v>51</v>
      </c>
      <c r="J4" s="17"/>
      <c r="K4" s="17"/>
      <c r="L4" s="17"/>
      <c r="M4" s="17"/>
      <c r="N4" s="17">
        <f>Stats_Gippsland!H2</f>
        <v>4000</v>
      </c>
      <c r="O4" s="18" t="s">
        <v>58</v>
      </c>
    </row>
    <row r="5" spans="1:15" x14ac:dyDescent="0.25">
      <c r="I5" s="8" t="s">
        <v>52</v>
      </c>
      <c r="N5" s="17">
        <f>Stats_Gippsland!I2</f>
        <v>2355.4</v>
      </c>
      <c r="O5" s="9" t="s">
        <v>58</v>
      </c>
    </row>
    <row r="6" spans="1:15" x14ac:dyDescent="0.25">
      <c r="I6" s="16" t="s">
        <v>55</v>
      </c>
      <c r="J6" s="17"/>
      <c r="K6" s="17"/>
      <c r="L6" s="17"/>
      <c r="M6" s="17"/>
      <c r="N6" s="17">
        <f>Stats_Gippsland!K2</f>
        <v>127358.1</v>
      </c>
      <c r="O6" s="18" t="s">
        <v>59</v>
      </c>
    </row>
    <row r="7" spans="1:15" x14ac:dyDescent="0.25">
      <c r="I7" s="8" t="s">
        <v>56</v>
      </c>
      <c r="N7" s="17">
        <f>Stats_Gippsland!J2</f>
        <v>54.07</v>
      </c>
      <c r="O7" s="9" t="s">
        <v>60</v>
      </c>
    </row>
    <row r="8" spans="1:15" x14ac:dyDescent="0.25">
      <c r="I8" s="16" t="s">
        <v>53</v>
      </c>
      <c r="J8" s="17"/>
      <c r="K8" s="17"/>
      <c r="L8" s="17"/>
      <c r="M8" s="17"/>
      <c r="N8" s="17">
        <f>N3-N5</f>
        <v>1644.6</v>
      </c>
      <c r="O8" s="18" t="s">
        <v>58</v>
      </c>
    </row>
    <row r="9" spans="1:15" x14ac:dyDescent="0.25">
      <c r="I9" s="8" t="s">
        <v>54</v>
      </c>
      <c r="N9">
        <f>N8-(N10*6)</f>
        <v>1118.3999999999999</v>
      </c>
      <c r="O9" s="9" t="s">
        <v>58</v>
      </c>
    </row>
    <row r="10" spans="1:15" x14ac:dyDescent="0.25">
      <c r="I10" s="16" t="s">
        <v>57</v>
      </c>
      <c r="J10" s="17"/>
      <c r="K10" s="17"/>
      <c r="L10" s="17"/>
      <c r="M10" s="17"/>
      <c r="N10" s="17">
        <f>Stats_Gippsland!M2</f>
        <v>87.7</v>
      </c>
      <c r="O10" s="18" t="s">
        <v>61</v>
      </c>
    </row>
    <row r="11" spans="1:15" ht="15.75" thickBot="1" x14ac:dyDescent="0.3">
      <c r="I11" s="10" t="s">
        <v>81</v>
      </c>
      <c r="J11" s="11"/>
      <c r="K11" s="11"/>
      <c r="L11" s="11"/>
      <c r="M11" s="11"/>
      <c r="N11" s="11">
        <f>Stats_Cessna!L8</f>
        <v>0</v>
      </c>
      <c r="O11" s="12" t="s">
        <v>58</v>
      </c>
    </row>
    <row r="12" spans="1:15" ht="15.75" thickTop="1" x14ac:dyDescent="0.25"/>
    <row r="13" spans="1:15" x14ac:dyDescent="0.25">
      <c r="I13" s="53" t="s">
        <v>62</v>
      </c>
      <c r="J13" s="53"/>
      <c r="K13" s="53"/>
      <c r="L13" s="53"/>
      <c r="M13" s="53"/>
      <c r="N13" s="53"/>
      <c r="O13" s="53"/>
    </row>
    <row r="14" spans="1:15" x14ac:dyDescent="0.25">
      <c r="I14" s="54"/>
      <c r="J14" s="54"/>
      <c r="K14" s="54"/>
      <c r="L14" s="54"/>
      <c r="M14" s="54"/>
      <c r="N14" s="54"/>
      <c r="O14" s="54"/>
    </row>
    <row r="15" spans="1:15" ht="30" x14ac:dyDescent="0.25">
      <c r="I15" s="64" t="s">
        <v>63</v>
      </c>
      <c r="J15" s="65"/>
      <c r="K15" s="65"/>
      <c r="L15" s="65"/>
      <c r="M15" s="19" t="s">
        <v>46</v>
      </c>
      <c r="N15" s="19" t="s">
        <v>47</v>
      </c>
      <c r="O15" s="19" t="s">
        <v>82</v>
      </c>
    </row>
    <row r="16" spans="1:15" ht="15.75" thickBot="1" x14ac:dyDescent="0.3">
      <c r="I16" s="20" t="s">
        <v>52</v>
      </c>
      <c r="J16" s="21"/>
      <c r="K16" s="21"/>
      <c r="L16" s="28"/>
      <c r="M16" s="27">
        <f>Stats_Gippsland!J2</f>
        <v>54.07</v>
      </c>
      <c r="N16" s="27">
        <f>N5</f>
        <v>2355.4</v>
      </c>
      <c r="O16" s="23">
        <f>N6/1000</f>
        <v>127.35810000000001</v>
      </c>
    </row>
    <row r="17" spans="1:15" ht="16.5" thickTop="1" thickBot="1" x14ac:dyDescent="0.3">
      <c r="I17" s="20" t="s">
        <v>64</v>
      </c>
      <c r="J17" s="21"/>
      <c r="K17" s="28"/>
      <c r="L17" s="30"/>
      <c r="M17" s="41">
        <f>Stats_Gippsland!O2</f>
        <v>67.5</v>
      </c>
      <c r="N17" s="27" t="str">
        <f>IF(ISBLANK(L17),"",$L17*6)</f>
        <v/>
      </c>
      <c r="O17" s="23" t="str">
        <f>IF(ISBLANK(L17),"",($N17*$M17/1000))</f>
        <v/>
      </c>
    </row>
    <row r="18" spans="1:15" ht="16.5" thickTop="1" thickBot="1" x14ac:dyDescent="0.3">
      <c r="I18" s="20" t="s">
        <v>65</v>
      </c>
      <c r="J18" s="21"/>
      <c r="K18" s="30"/>
      <c r="L18" s="30"/>
      <c r="M18" s="41">
        <f>Stats_Gippsland!P2</f>
        <v>38</v>
      </c>
      <c r="N18" s="27" t="str">
        <f>IF(AND(ISBLANK(K18),ISBLANK(L18)),"",$K18+$L18)</f>
        <v/>
      </c>
      <c r="O18" s="23" t="str">
        <f>IF(AND(ISBLANK(K18),ISBLANK(L18)),"",($N18*$M18/1000))</f>
        <v/>
      </c>
    </row>
    <row r="19" spans="1:15" ht="16.5" thickTop="1" thickBot="1" x14ac:dyDescent="0.3">
      <c r="I19" s="20" t="s">
        <v>113</v>
      </c>
      <c r="J19" s="21"/>
      <c r="K19" s="30"/>
      <c r="L19" s="30"/>
      <c r="M19" s="41">
        <f>Stats_Gippsland!Q2</f>
        <v>69.8</v>
      </c>
      <c r="N19" s="27" t="str">
        <f>IF(AND(ISBLANK(K19),ISBLANK(L19)),"",$K19+$L19)</f>
        <v/>
      </c>
      <c r="O19" s="23" t="str">
        <f>IF(AND(ISBLANK(K19),ISBLANK(L19)),"",($N19*$M19/1000))</f>
        <v/>
      </c>
    </row>
    <row r="20" spans="1:15" ht="16.5" thickTop="1" thickBot="1" x14ac:dyDescent="0.3">
      <c r="I20" s="20" t="s">
        <v>114</v>
      </c>
      <c r="J20" s="21"/>
      <c r="K20" s="30"/>
      <c r="L20" s="30"/>
      <c r="M20" s="41">
        <f>Stats_Gippsland!R2</f>
        <v>99.3</v>
      </c>
      <c r="N20" s="27" t="str">
        <f>IF(AND(ISBLANK(K20),ISBLANK(L20)),"",$K20+$L20)</f>
        <v/>
      </c>
      <c r="O20" s="23" t="str">
        <f>IF(AND(ISBLANK(K20),ISBLANK(L20)),"",($N20*$M20/1000))</f>
        <v/>
      </c>
    </row>
    <row r="21" spans="1:15" ht="16.5" thickTop="1" thickBot="1" x14ac:dyDescent="0.3">
      <c r="I21" s="20" t="s">
        <v>115</v>
      </c>
      <c r="J21" s="21"/>
      <c r="K21" s="30"/>
      <c r="L21" s="30"/>
      <c r="M21" s="41">
        <f>Stats_Gippsland!S2</f>
        <v>127.8</v>
      </c>
      <c r="N21" s="27" t="str">
        <f>IF(AND(ISBLANK(K21),ISBLANK(L21)),"",$K21+$L21)</f>
        <v/>
      </c>
      <c r="O21" s="23" t="str">
        <f>IF(AND(ISBLANK(K21),ISBLANK(L21)),"",($N21*$M21/1000))</f>
        <v/>
      </c>
    </row>
    <row r="22" spans="1:15" ht="16.5" thickTop="1" thickBot="1" x14ac:dyDescent="0.3">
      <c r="I22" s="20" t="s">
        <v>116</v>
      </c>
      <c r="J22" s="21"/>
      <c r="K22" s="29"/>
      <c r="L22" s="30"/>
      <c r="M22" s="41">
        <f>Stats_Gippsland!T2</f>
        <v>148.30000000000001</v>
      </c>
      <c r="N22" s="27" t="str">
        <f>IF(ISBLANK(L22),"",$L22)</f>
        <v/>
      </c>
      <c r="O22" s="23" t="str">
        <f>IF(ISBLANK(L22),"",($N22*$M22/1000))</f>
        <v/>
      </c>
    </row>
    <row r="23" spans="1:15" ht="16.5" thickTop="1" thickBot="1" x14ac:dyDescent="0.3">
      <c r="I23" s="20" t="s">
        <v>117</v>
      </c>
      <c r="J23" s="21"/>
      <c r="K23" s="21"/>
      <c r="L23" s="30"/>
      <c r="M23" s="41">
        <f>Stats_Gippsland!U2</f>
        <v>182</v>
      </c>
      <c r="N23" s="31" t="str">
        <f>IF(ISBLANK(L23),"",$L23)</f>
        <v/>
      </c>
      <c r="O23" s="32" t="str">
        <f>IF(ISBLANK(L23),"",($N23*$M23/1000))</f>
        <v/>
      </c>
    </row>
    <row r="24" spans="1:15" ht="15.75" thickTop="1" x14ac:dyDescent="0.25">
      <c r="I24" s="24" t="s">
        <v>69</v>
      </c>
      <c r="J24" s="21"/>
      <c r="K24" s="21"/>
      <c r="L24" s="29"/>
      <c r="M24" s="21"/>
      <c r="N24" s="27" t="str">
        <f>IF(SUM(N17:N23)=0,"",SUM(N16:N23))</f>
        <v/>
      </c>
      <c r="O24" s="23" t="str">
        <f>IF(SUM(O17:O23)=0,"",SUM(O16:O23))</f>
        <v/>
      </c>
    </row>
    <row r="25" spans="1:15" ht="15.75" thickBot="1" x14ac:dyDescent="0.3">
      <c r="I25" s="20" t="s">
        <v>70</v>
      </c>
      <c r="J25" s="21"/>
      <c r="K25" s="21"/>
      <c r="L25" s="21"/>
      <c r="M25" s="26"/>
      <c r="N25" s="35">
        <v>-10</v>
      </c>
      <c r="O25" s="36">
        <f>N25*M17/1000</f>
        <v>-0.67500000000000004</v>
      </c>
    </row>
    <row r="26" spans="1:15" ht="16.5" thickTop="1" thickBot="1" x14ac:dyDescent="0.3">
      <c r="I26" s="24" t="s">
        <v>76</v>
      </c>
      <c r="J26" s="21"/>
      <c r="K26" s="21"/>
      <c r="L26" s="21"/>
      <c r="M26" s="21"/>
      <c r="N26" s="33" t="str">
        <f>IF(SUM(N17:N23)=0,"",N24+N25)</f>
        <v/>
      </c>
      <c r="O26" s="34" t="str">
        <f>IF(SUM(O17:O23)=0,"",O24+O25)</f>
        <v/>
      </c>
    </row>
    <row r="27" spans="1:15" ht="16.5" thickTop="1" thickBot="1" x14ac:dyDescent="0.3">
      <c r="I27" s="66" t="s">
        <v>72</v>
      </c>
      <c r="J27" s="67"/>
      <c r="K27" s="67"/>
      <c r="L27" s="68"/>
      <c r="M27" s="67"/>
      <c r="N27" s="69"/>
      <c r="O27" s="70"/>
    </row>
    <row r="28" spans="1:15" ht="16.5" thickTop="1" thickBot="1" x14ac:dyDescent="0.3">
      <c r="I28" s="20" t="s">
        <v>71</v>
      </c>
      <c r="J28" s="21"/>
      <c r="K28" s="21"/>
      <c r="L28" s="30"/>
      <c r="M28" s="21">
        <f>Stats_Gippsland!O2</f>
        <v>67.5</v>
      </c>
      <c r="N28" s="31" t="str">
        <f>IF(ISBLANK(L28),"",$L28*6)</f>
        <v/>
      </c>
      <c r="O28" s="32" t="str">
        <f>IF(ISBLANK(L28),"",($N28*$M28/1000))</f>
        <v/>
      </c>
    </row>
    <row r="29" spans="1:15" ht="16.5" thickTop="1" thickBot="1" x14ac:dyDescent="0.3">
      <c r="I29" s="24" t="s">
        <v>77</v>
      </c>
      <c r="J29" s="21"/>
      <c r="K29" s="21"/>
      <c r="L29" s="29"/>
      <c r="M29" s="21"/>
      <c r="N29" s="33" t="str">
        <f>IF(ISBLANK(L28),"",N26-(L28*6))</f>
        <v/>
      </c>
      <c r="O29" s="34" t="str">
        <f>IF(ISBLANK(L28),"",O26-(L28*6*M28/1000))</f>
        <v/>
      </c>
    </row>
    <row r="30" spans="1:15" ht="16.5" thickTop="1" thickBot="1" x14ac:dyDescent="0.3">
      <c r="A30" t="s">
        <v>9</v>
      </c>
      <c r="B30" s="2" t="e">
        <f>O26-O17</f>
        <v>#VALUE!</v>
      </c>
      <c r="C30" s="3" t="e">
        <f>N26-N17</f>
        <v>#VALUE!</v>
      </c>
      <c r="I30" s="66" t="s">
        <v>73</v>
      </c>
      <c r="J30" s="67"/>
      <c r="K30" s="67"/>
      <c r="L30" s="67"/>
      <c r="M30" s="67"/>
      <c r="N30" s="71"/>
      <c r="O30" s="72"/>
    </row>
    <row r="31" spans="1:15" ht="16.5" thickTop="1" thickBot="1" x14ac:dyDescent="0.3">
      <c r="A31" t="s">
        <v>4</v>
      </c>
      <c r="B31" s="2" t="str">
        <f>O29</f>
        <v/>
      </c>
      <c r="C31" s="3" t="str">
        <f>N29</f>
        <v/>
      </c>
      <c r="I31" s="24" t="s">
        <v>78</v>
      </c>
      <c r="J31" s="21"/>
      <c r="K31" s="21"/>
      <c r="L31" s="21"/>
      <c r="M31" s="21"/>
      <c r="N31" s="33" t="str">
        <f>IF(ISBLANK(L17),"",N24-N17)</f>
        <v/>
      </c>
      <c r="O31" s="34" t="str">
        <f>IF(ISBLANK(L17),"",O24-O17)</f>
        <v/>
      </c>
    </row>
    <row r="32" spans="1:15" ht="15.75" thickTop="1" x14ac:dyDescent="0.25">
      <c r="A32" t="s">
        <v>3</v>
      </c>
      <c r="B32" s="2" t="str">
        <f>O26</f>
        <v/>
      </c>
      <c r="C32" s="3" t="str">
        <f>N26</f>
        <v/>
      </c>
      <c r="I32" s="66" t="s">
        <v>74</v>
      </c>
      <c r="J32" s="67"/>
      <c r="K32" s="67"/>
      <c r="L32" s="67"/>
      <c r="M32" s="67"/>
      <c r="N32" s="69"/>
      <c r="O32" s="70"/>
    </row>
    <row r="33" spans="9:16" x14ac:dyDescent="0.25">
      <c r="I33" s="73" t="s">
        <v>75</v>
      </c>
      <c r="J33" s="74"/>
      <c r="K33" s="74"/>
      <c r="L33" s="74"/>
      <c r="M33" s="74"/>
      <c r="N33" s="74"/>
      <c r="O33" s="75"/>
    </row>
    <row r="46" spans="9:16" x14ac:dyDescent="0.25">
      <c r="N46" s="2"/>
      <c r="P46" s="2"/>
    </row>
  </sheetData>
  <mergeCells count="11">
    <mergeCell ref="I15:L15"/>
    <mergeCell ref="I27:O27"/>
    <mergeCell ref="I30:O30"/>
    <mergeCell ref="I32:O32"/>
    <mergeCell ref="I33:O33"/>
    <mergeCell ref="I13:O14"/>
    <mergeCell ref="A1:E1"/>
    <mergeCell ref="F1:G1"/>
    <mergeCell ref="L1:M1"/>
    <mergeCell ref="N1:O1"/>
    <mergeCell ref="A2:G2"/>
  </mergeCells>
  <pageMargins left="0.2" right="0.2" top="0.25" bottom="0.2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44"/>
  <sheetViews>
    <sheetView tabSelected="1" workbookViewId="0">
      <selection activeCell="R8" sqref="R8"/>
    </sheetView>
  </sheetViews>
  <sheetFormatPr defaultRowHeight="15" x14ac:dyDescent="0.25"/>
  <cols>
    <col min="8" max="8" width="2.85546875" customWidth="1"/>
    <col min="9" max="9" width="6.28515625" customWidth="1"/>
    <col min="10" max="10" width="15.7109375" customWidth="1"/>
    <col min="11" max="11" width="9.5703125" customWidth="1"/>
    <col min="12" max="12" width="8.5703125" customWidth="1"/>
    <col min="13" max="13" width="8.42578125" customWidth="1"/>
    <col min="14" max="14" width="8.5703125" customWidth="1"/>
    <col min="15" max="15" width="9.7109375" customWidth="1"/>
  </cols>
  <sheetData>
    <row r="1" spans="1:15" ht="39.950000000000003" customHeight="1" thickBot="1" x14ac:dyDescent="0.75">
      <c r="A1" s="55" t="s">
        <v>135</v>
      </c>
      <c r="B1" s="56"/>
      <c r="C1" s="56"/>
      <c r="D1" s="56"/>
      <c r="E1" s="56"/>
      <c r="F1" s="57" t="s">
        <v>103</v>
      </c>
      <c r="G1" s="58"/>
      <c r="H1" s="1"/>
      <c r="I1" s="25" t="s">
        <v>104</v>
      </c>
      <c r="J1" s="1"/>
      <c r="L1" s="59" t="s">
        <v>48</v>
      </c>
      <c r="M1" s="59"/>
      <c r="N1" s="60">
        <f>Stats_Cessna!E4</f>
        <v>43615</v>
      </c>
      <c r="O1" s="60"/>
    </row>
    <row r="2" spans="1:15" ht="15.75" thickTop="1" x14ac:dyDescent="0.25">
      <c r="A2" s="88"/>
      <c r="B2" s="89"/>
      <c r="C2" s="89"/>
      <c r="D2" s="89"/>
      <c r="E2" s="89"/>
      <c r="F2" s="89"/>
      <c r="G2" s="90"/>
      <c r="I2" s="13" t="s">
        <v>49</v>
      </c>
      <c r="J2" s="14"/>
      <c r="K2" s="14"/>
      <c r="L2" s="14"/>
      <c r="M2" s="14"/>
      <c r="N2" s="14">
        <f>Stats_Cessna!F4</f>
        <v>2558</v>
      </c>
      <c r="O2" s="15" t="s">
        <v>58</v>
      </c>
    </row>
    <row r="3" spans="1:15" ht="17.25" customHeight="1" x14ac:dyDescent="0.25">
      <c r="I3" s="8" t="s">
        <v>50</v>
      </c>
      <c r="N3">
        <f>Stats_Cessna!G4</f>
        <v>2550</v>
      </c>
      <c r="O3" s="9" t="s">
        <v>58</v>
      </c>
    </row>
    <row r="4" spans="1:15" ht="15" customHeight="1" x14ac:dyDescent="0.25">
      <c r="I4" s="16" t="s">
        <v>51</v>
      </c>
      <c r="J4" s="17"/>
      <c r="K4" s="17"/>
      <c r="L4" s="17"/>
      <c r="M4" s="17"/>
      <c r="N4" s="17">
        <f>Stats_Cessna!H4</f>
        <v>2550</v>
      </c>
      <c r="O4" s="18" t="s">
        <v>58</v>
      </c>
    </row>
    <row r="5" spans="1:15" x14ac:dyDescent="0.25">
      <c r="I5" s="8" t="s">
        <v>52</v>
      </c>
      <c r="N5">
        <f>Stats_Cessna!I4</f>
        <v>1733.96</v>
      </c>
      <c r="O5" s="9" t="s">
        <v>58</v>
      </c>
    </row>
    <row r="6" spans="1:15" x14ac:dyDescent="0.25">
      <c r="I6" s="16" t="s">
        <v>55</v>
      </c>
      <c r="J6" s="17"/>
      <c r="K6" s="17"/>
      <c r="L6" s="17"/>
      <c r="M6" s="17"/>
      <c r="N6" s="17">
        <f>Stats_Cessna!K4</f>
        <v>73188.33</v>
      </c>
      <c r="O6" s="18" t="s">
        <v>59</v>
      </c>
    </row>
    <row r="7" spans="1:15" x14ac:dyDescent="0.25">
      <c r="I7" s="8" t="s">
        <v>56</v>
      </c>
      <c r="N7">
        <f>Stats_Cessna!J4</f>
        <v>42.21</v>
      </c>
      <c r="O7" s="9" t="s">
        <v>60</v>
      </c>
    </row>
    <row r="8" spans="1:15" x14ac:dyDescent="0.25">
      <c r="I8" s="16" t="s">
        <v>53</v>
      </c>
      <c r="J8" s="17"/>
      <c r="K8" s="17"/>
      <c r="L8" s="17"/>
      <c r="M8" s="17"/>
      <c r="N8" s="17">
        <f>N2-N5</f>
        <v>824.04</v>
      </c>
      <c r="O8" s="18" t="s">
        <v>58</v>
      </c>
    </row>
    <row r="9" spans="1:15" x14ac:dyDescent="0.25">
      <c r="I9" s="8" t="s">
        <v>54</v>
      </c>
      <c r="N9">
        <f>N8-(N10*6)</f>
        <v>524.04</v>
      </c>
      <c r="O9" s="9" t="s">
        <v>58</v>
      </c>
    </row>
    <row r="10" spans="1:15" x14ac:dyDescent="0.25">
      <c r="I10" s="16" t="s">
        <v>57</v>
      </c>
      <c r="J10" s="17"/>
      <c r="K10" s="17"/>
      <c r="L10" s="17"/>
      <c r="M10" s="17"/>
      <c r="N10" s="17">
        <f>Stats_Cessna!M4</f>
        <v>50</v>
      </c>
      <c r="O10" s="18" t="s">
        <v>61</v>
      </c>
    </row>
    <row r="11" spans="1:15" ht="15.75" thickBot="1" x14ac:dyDescent="0.3">
      <c r="I11" s="10" t="s">
        <v>80</v>
      </c>
      <c r="J11" s="11"/>
      <c r="K11" s="11"/>
      <c r="L11" s="11"/>
      <c r="M11" s="11"/>
      <c r="N11" s="11">
        <f>Stats_Cessna!L4</f>
        <v>15</v>
      </c>
      <c r="O11" s="12" t="s">
        <v>58</v>
      </c>
    </row>
    <row r="12" spans="1:15" ht="8.25" customHeight="1" thickTop="1" x14ac:dyDescent="0.25"/>
    <row r="13" spans="1:15" x14ac:dyDescent="0.25">
      <c r="I13" s="53" t="s">
        <v>62</v>
      </c>
      <c r="J13" s="53"/>
      <c r="K13" s="53"/>
      <c r="L13" s="53"/>
      <c r="M13" s="53"/>
      <c r="N13" s="53"/>
      <c r="O13" s="53"/>
    </row>
    <row r="14" spans="1:15" ht="12" customHeight="1" x14ac:dyDescent="0.25">
      <c r="I14" s="54"/>
      <c r="J14" s="54"/>
      <c r="K14" s="54"/>
      <c r="L14" s="54"/>
      <c r="M14" s="54"/>
      <c r="N14" s="54"/>
      <c r="O14" s="54"/>
    </row>
    <row r="15" spans="1:15" ht="30" x14ac:dyDescent="0.25">
      <c r="I15" s="64" t="s">
        <v>63</v>
      </c>
      <c r="J15" s="65"/>
      <c r="K15" s="65"/>
      <c r="L15" s="65"/>
      <c r="M15" s="19" t="s">
        <v>46</v>
      </c>
      <c r="N15" s="19" t="s">
        <v>47</v>
      </c>
      <c r="O15" s="19" t="s">
        <v>82</v>
      </c>
    </row>
    <row r="16" spans="1:15" ht="20.100000000000001" customHeight="1" thickBot="1" x14ac:dyDescent="0.3">
      <c r="I16" s="20" t="s">
        <v>52</v>
      </c>
      <c r="J16" s="21"/>
      <c r="K16" s="21"/>
      <c r="L16" s="28"/>
      <c r="M16" s="22">
        <f>N7</f>
        <v>42.21</v>
      </c>
      <c r="N16" s="27">
        <f>N5</f>
        <v>1733.96</v>
      </c>
      <c r="O16" s="23">
        <f>N6/1000</f>
        <v>73.188330000000008</v>
      </c>
    </row>
    <row r="17" spans="1:15" ht="20.100000000000001" customHeight="1" thickTop="1" thickBot="1" x14ac:dyDescent="0.3">
      <c r="I17" s="20" t="s">
        <v>64</v>
      </c>
      <c r="J17" s="21"/>
      <c r="K17" s="28"/>
      <c r="L17" s="30">
        <v>50</v>
      </c>
      <c r="M17" s="26">
        <f>Stats_Cessna!O4</f>
        <v>48</v>
      </c>
      <c r="N17" s="27">
        <f>IF(ISBLANK(L17),"",$L17*6)</f>
        <v>300</v>
      </c>
      <c r="O17" s="23">
        <f>IF(ISBLANK(L17),"",($N17*$M17/1000))</f>
        <v>14.4</v>
      </c>
    </row>
    <row r="18" spans="1:15" ht="20.100000000000001" customHeight="1" thickTop="1" thickBot="1" x14ac:dyDescent="0.3">
      <c r="I18" s="20" t="s">
        <v>65</v>
      </c>
      <c r="J18" s="21"/>
      <c r="K18" s="30">
        <v>180</v>
      </c>
      <c r="L18" s="30">
        <v>260</v>
      </c>
      <c r="M18" s="26">
        <f>Stats_Cessna!P4</f>
        <v>37</v>
      </c>
      <c r="N18" s="27">
        <f>IF(AND(ISBLANK(K18),ISBLANK(L18)),"",$K18+$L18)</f>
        <v>440</v>
      </c>
      <c r="O18" s="23">
        <f>IF(AND(ISBLANK(K18),ISBLANK(L18)),"",($N18*$M18/1000))</f>
        <v>16.28</v>
      </c>
    </row>
    <row r="19" spans="1:15" ht="20.100000000000001" customHeight="1" thickTop="1" thickBot="1" x14ac:dyDescent="0.3">
      <c r="I19" s="20" t="s">
        <v>66</v>
      </c>
      <c r="J19" s="21"/>
      <c r="K19" s="30"/>
      <c r="L19" s="30">
        <v>47</v>
      </c>
      <c r="M19" s="26">
        <f>Stats_Cessna!Q4</f>
        <v>73</v>
      </c>
      <c r="N19" s="27">
        <f>IF(AND(ISBLANK(K19),ISBLANK(L19)),"",$K19+$L19)</f>
        <v>47</v>
      </c>
      <c r="O19" s="23">
        <f>IF(AND(ISBLANK(K19),ISBLANK(L19)),"",($N19*$M19/1000))</f>
        <v>3.431</v>
      </c>
    </row>
    <row r="20" spans="1:15" ht="20.100000000000001" customHeight="1" thickTop="1" thickBot="1" x14ac:dyDescent="0.3">
      <c r="I20" s="20" t="s">
        <v>67</v>
      </c>
      <c r="J20" s="21"/>
      <c r="K20" s="29"/>
      <c r="L20" s="30"/>
      <c r="M20" s="26">
        <f>Stats_Cessna!R4</f>
        <v>95</v>
      </c>
      <c r="N20" s="27" t="str">
        <f>IF(ISBLANK(L20),"",$L20)</f>
        <v/>
      </c>
      <c r="O20" s="23" t="str">
        <f>IF(ISBLANK(L20),"",($N20*$M20/1000))</f>
        <v/>
      </c>
    </row>
    <row r="21" spans="1:15" ht="20.100000000000001" customHeight="1" thickTop="1" thickBot="1" x14ac:dyDescent="0.3">
      <c r="I21" s="20" t="s">
        <v>68</v>
      </c>
      <c r="J21" s="21"/>
      <c r="K21" s="21"/>
      <c r="L21" s="30"/>
      <c r="M21" s="26">
        <f>Stats_Cessna!S4</f>
        <v>123</v>
      </c>
      <c r="N21" s="31" t="str">
        <f>IF(ISBLANK(L21),"",$L21)</f>
        <v/>
      </c>
      <c r="O21" s="32" t="str">
        <f>IF(ISBLANK(L21),"",($N21*$M21/1000))</f>
        <v/>
      </c>
    </row>
    <row r="22" spans="1:15" ht="20.100000000000001" customHeight="1" thickTop="1" x14ac:dyDescent="0.25">
      <c r="I22" s="24" t="s">
        <v>69</v>
      </c>
      <c r="J22" s="21"/>
      <c r="K22" s="21"/>
      <c r="L22" s="29"/>
      <c r="M22" s="21"/>
      <c r="N22" s="27">
        <f>IF(SUM(N17:N21)=0,"",SUM(N16:N21))</f>
        <v>2520.96</v>
      </c>
      <c r="O22" s="23">
        <f>IF(SUM(O17:O21)=0,"",SUM(O16:O21))</f>
        <v>107.29933000000001</v>
      </c>
    </row>
    <row r="23" spans="1:15" ht="20.100000000000001" customHeight="1" thickBot="1" x14ac:dyDescent="0.3">
      <c r="I23" s="20" t="s">
        <v>70</v>
      </c>
      <c r="J23" s="21"/>
      <c r="K23" s="21"/>
      <c r="L23" s="21"/>
      <c r="M23" s="26"/>
      <c r="N23" s="35">
        <v>-8.5</v>
      </c>
      <c r="O23" s="36">
        <f>N23*M17/1000</f>
        <v>-0.40799999999999997</v>
      </c>
    </row>
    <row r="24" spans="1:15" ht="20.100000000000001" customHeight="1" thickTop="1" thickBot="1" x14ac:dyDescent="0.3">
      <c r="I24" s="24" t="s">
        <v>76</v>
      </c>
      <c r="J24" s="21"/>
      <c r="K24" s="21"/>
      <c r="L24" s="21"/>
      <c r="M24" s="21"/>
      <c r="N24" s="33">
        <f>IF(SUM(N17:N21)=0,"",N22+N23)</f>
        <v>2512.46</v>
      </c>
      <c r="O24" s="34">
        <f>IF(SUM(O17:O21)=0,"",O22+O23)</f>
        <v>106.89133000000001</v>
      </c>
    </row>
    <row r="25" spans="1:15" ht="20.100000000000001" customHeight="1" thickTop="1" thickBot="1" x14ac:dyDescent="0.3">
      <c r="I25" s="66" t="s">
        <v>72</v>
      </c>
      <c r="J25" s="67"/>
      <c r="K25" s="67"/>
      <c r="L25" s="68"/>
      <c r="M25" s="67"/>
      <c r="N25" s="69"/>
      <c r="O25" s="70"/>
    </row>
    <row r="26" spans="1:15" ht="20.100000000000001" customHeight="1" thickTop="1" thickBot="1" x14ac:dyDescent="0.3">
      <c r="I26" s="20" t="s">
        <v>71</v>
      </c>
      <c r="J26" s="21"/>
      <c r="K26" s="21"/>
      <c r="L26" s="30">
        <v>10</v>
      </c>
      <c r="M26" s="21">
        <f>Stats_Cessna!O4</f>
        <v>48</v>
      </c>
      <c r="N26" s="31">
        <f>IF(ISBLANK(L26),"",$L26*6)</f>
        <v>60</v>
      </c>
      <c r="O26" s="32">
        <f>IF(ISBLANK(L26),"",($N26*$M26/1000))</f>
        <v>2.88</v>
      </c>
    </row>
    <row r="27" spans="1:15" ht="20.100000000000001" customHeight="1" thickTop="1" thickBot="1" x14ac:dyDescent="0.3">
      <c r="I27" s="24" t="s">
        <v>77</v>
      </c>
      <c r="J27" s="21"/>
      <c r="K27" s="21"/>
      <c r="L27" s="29"/>
      <c r="M27" s="21"/>
      <c r="N27" s="33">
        <f>IF(ISBLANK(L26),"",N24-(L26*6))</f>
        <v>2452.46</v>
      </c>
      <c r="O27" s="34">
        <f>IF(ISBLANK(L26),"",O24-(L26*6*M26/1000))</f>
        <v>104.01133000000002</v>
      </c>
    </row>
    <row r="28" spans="1:15" ht="20.100000000000001" customHeight="1" thickTop="1" thickBot="1" x14ac:dyDescent="0.3">
      <c r="A28" t="s">
        <v>9</v>
      </c>
      <c r="B28" s="2">
        <f>O22-O17</f>
        <v>92.899330000000006</v>
      </c>
      <c r="C28" s="3">
        <f>N22-N17</f>
        <v>2220.96</v>
      </c>
      <c r="I28" s="66" t="s">
        <v>73</v>
      </c>
      <c r="J28" s="67"/>
      <c r="K28" s="67"/>
      <c r="L28" s="67"/>
      <c r="M28" s="67"/>
      <c r="N28" s="71"/>
      <c r="O28" s="72"/>
    </row>
    <row r="29" spans="1:15" ht="20.100000000000001" customHeight="1" thickTop="1" thickBot="1" x14ac:dyDescent="0.3">
      <c r="A29" t="s">
        <v>4</v>
      </c>
      <c r="B29" s="2">
        <f>O27</f>
        <v>104.01133000000002</v>
      </c>
      <c r="C29" s="3">
        <f>N27</f>
        <v>2452.46</v>
      </c>
      <c r="I29" s="24" t="s">
        <v>78</v>
      </c>
      <c r="J29" s="21"/>
      <c r="K29" s="21"/>
      <c r="L29" s="21"/>
      <c r="M29" s="21"/>
      <c r="N29" s="33">
        <f>IF(ISBLANK(L17),"",N22-N17)</f>
        <v>2220.96</v>
      </c>
      <c r="O29" s="34">
        <f>IF(ISBLANK(L17),"",O22-O17)</f>
        <v>92.899330000000006</v>
      </c>
    </row>
    <row r="30" spans="1:15" ht="20.100000000000001" customHeight="1" thickTop="1" x14ac:dyDescent="0.25">
      <c r="A30" t="s">
        <v>3</v>
      </c>
      <c r="B30" s="2">
        <f>O24</f>
        <v>106.89133000000001</v>
      </c>
      <c r="C30" s="3">
        <f>N24</f>
        <v>2512.46</v>
      </c>
      <c r="I30" s="66" t="s">
        <v>74</v>
      </c>
      <c r="J30" s="67"/>
      <c r="K30" s="67"/>
      <c r="L30" s="67"/>
      <c r="M30" s="67"/>
      <c r="N30" s="69"/>
      <c r="O30" s="70"/>
    </row>
    <row r="31" spans="1:15" ht="26.25" customHeight="1" x14ac:dyDescent="0.25">
      <c r="I31" s="73" t="s">
        <v>75</v>
      </c>
      <c r="J31" s="74"/>
      <c r="K31" s="74"/>
      <c r="L31" s="74"/>
      <c r="M31" s="74"/>
      <c r="N31" s="74"/>
      <c r="O31" s="75"/>
    </row>
    <row r="44" spans="14:16" x14ac:dyDescent="0.25">
      <c r="N44" s="2"/>
      <c r="P44" s="2"/>
    </row>
  </sheetData>
  <mergeCells count="11">
    <mergeCell ref="I13:O14"/>
    <mergeCell ref="A1:E1"/>
    <mergeCell ref="F1:G1"/>
    <mergeCell ref="L1:M1"/>
    <mergeCell ref="N1:O1"/>
    <mergeCell ref="A2:G2"/>
    <mergeCell ref="I15:L15"/>
    <mergeCell ref="I25:O25"/>
    <mergeCell ref="I28:O28"/>
    <mergeCell ref="I30:O30"/>
    <mergeCell ref="I31:O31"/>
  </mergeCells>
  <conditionalFormatting sqref="O27">
    <cfRule type="cellIs" dxfId="3" priority="1" operator="greaterThan">
      <formula>N27*47.3/1000</formula>
    </cfRule>
  </conditionalFormatting>
  <pageMargins left="0.2" right="0.2" top="0.25" bottom="0.2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5"/>
  <sheetViews>
    <sheetView zoomScaleNormal="100" workbookViewId="0">
      <selection activeCell="N2" sqref="N2"/>
    </sheetView>
  </sheetViews>
  <sheetFormatPr defaultRowHeight="15" x14ac:dyDescent="0.25"/>
  <cols>
    <col min="8" max="8" width="2.85546875" customWidth="1"/>
    <col min="9" max="9" width="6.28515625" customWidth="1"/>
    <col min="10" max="10" width="15.7109375" customWidth="1"/>
    <col min="11" max="11" width="9.5703125" customWidth="1"/>
    <col min="12" max="12" width="8.5703125" customWidth="1"/>
    <col min="13" max="13" width="8.42578125" customWidth="1"/>
    <col min="14" max="14" width="8.5703125" customWidth="1"/>
    <col min="15" max="15" width="9.7109375" customWidth="1"/>
  </cols>
  <sheetData>
    <row r="1" spans="1:15" ht="39.950000000000003" customHeight="1" thickBot="1" x14ac:dyDescent="0.75">
      <c r="A1" s="55" t="s">
        <v>136</v>
      </c>
      <c r="B1" s="56"/>
      <c r="C1" s="56"/>
      <c r="D1" s="56"/>
      <c r="E1" s="56"/>
      <c r="F1" s="57" t="s">
        <v>10</v>
      </c>
      <c r="G1" s="58"/>
      <c r="H1" s="1"/>
      <c r="I1" s="25" t="s">
        <v>86</v>
      </c>
      <c r="J1" s="1"/>
      <c r="L1" s="59" t="s">
        <v>48</v>
      </c>
      <c r="M1" s="59"/>
      <c r="N1" s="60">
        <v>41376</v>
      </c>
      <c r="O1" s="60"/>
    </row>
    <row r="2" spans="1:15" ht="15.75" thickTop="1" x14ac:dyDescent="0.25">
      <c r="A2" s="79"/>
      <c r="B2" s="80"/>
      <c r="C2" s="80"/>
      <c r="D2" s="80"/>
      <c r="E2" s="80"/>
      <c r="F2" s="80"/>
      <c r="G2" s="81"/>
      <c r="I2" s="13" t="s">
        <v>49</v>
      </c>
      <c r="J2" s="14"/>
      <c r="K2" s="14"/>
      <c r="L2" s="14"/>
      <c r="M2" s="14"/>
      <c r="N2" s="14">
        <f>Stats_Cessna!F5</f>
        <v>3110</v>
      </c>
      <c r="O2" s="15" t="s">
        <v>58</v>
      </c>
    </row>
    <row r="3" spans="1:15" x14ac:dyDescent="0.25">
      <c r="I3" s="8" t="s">
        <v>50</v>
      </c>
      <c r="N3">
        <f>Stats_Cessna!G5</f>
        <v>3100</v>
      </c>
      <c r="O3" s="9" t="s">
        <v>58</v>
      </c>
    </row>
    <row r="4" spans="1:15" x14ac:dyDescent="0.25">
      <c r="I4" s="16" t="s">
        <v>51</v>
      </c>
      <c r="J4" s="17"/>
      <c r="K4" s="17"/>
      <c r="L4" s="17"/>
      <c r="M4" s="17"/>
      <c r="N4" s="17">
        <f>Stats_Cessna!H5</f>
        <v>2950</v>
      </c>
      <c r="O4" s="18" t="s">
        <v>58</v>
      </c>
    </row>
    <row r="5" spans="1:15" x14ac:dyDescent="0.25">
      <c r="I5" s="8" t="s">
        <v>52</v>
      </c>
      <c r="N5">
        <f>Stats_Cessna!I5</f>
        <v>2035</v>
      </c>
      <c r="O5" s="9" t="s">
        <v>58</v>
      </c>
    </row>
    <row r="6" spans="1:15" x14ac:dyDescent="0.25">
      <c r="I6" s="16" t="s">
        <v>55</v>
      </c>
      <c r="J6" s="17"/>
      <c r="K6" s="17"/>
      <c r="L6" s="17"/>
      <c r="M6" s="17"/>
      <c r="N6" s="17">
        <f>Stats_Cessna!K5</f>
        <v>80960.600000000006</v>
      </c>
      <c r="O6" s="18" t="s">
        <v>59</v>
      </c>
    </row>
    <row r="7" spans="1:15" x14ac:dyDescent="0.25">
      <c r="I7" s="8" t="s">
        <v>56</v>
      </c>
      <c r="N7">
        <f>Stats_Cessna!J5</f>
        <v>39.78</v>
      </c>
      <c r="O7" s="9" t="s">
        <v>60</v>
      </c>
    </row>
    <row r="8" spans="1:15" x14ac:dyDescent="0.25">
      <c r="I8" s="16" t="s">
        <v>53</v>
      </c>
      <c r="J8" s="17"/>
      <c r="K8" s="17"/>
      <c r="L8" s="17"/>
      <c r="M8" s="17"/>
      <c r="N8" s="17">
        <f>N2-N5</f>
        <v>1075</v>
      </c>
      <c r="O8" s="18" t="s">
        <v>58</v>
      </c>
    </row>
    <row r="9" spans="1:15" x14ac:dyDescent="0.25">
      <c r="I9" s="8" t="s">
        <v>54</v>
      </c>
      <c r="N9">
        <f>N8-(N10*6)</f>
        <v>553</v>
      </c>
      <c r="O9" s="9" t="s">
        <v>58</v>
      </c>
    </row>
    <row r="10" spans="1:15" x14ac:dyDescent="0.25">
      <c r="I10" s="16" t="s">
        <v>57</v>
      </c>
      <c r="J10" s="17"/>
      <c r="K10" s="17"/>
      <c r="L10" s="17"/>
      <c r="M10" s="17"/>
      <c r="N10" s="17">
        <f>Stats_Cessna!M5</f>
        <v>87</v>
      </c>
      <c r="O10" s="18" t="s">
        <v>61</v>
      </c>
    </row>
    <row r="11" spans="1:15" ht="15.75" thickBot="1" x14ac:dyDescent="0.3">
      <c r="I11" s="10" t="s">
        <v>81</v>
      </c>
      <c r="J11" s="11"/>
      <c r="K11" s="11"/>
      <c r="L11" s="11"/>
      <c r="M11" s="11"/>
      <c r="N11" s="11">
        <f>Stats_Cessna!L5</f>
        <v>30</v>
      </c>
      <c r="O11" s="12" t="s">
        <v>58</v>
      </c>
    </row>
    <row r="12" spans="1:15" ht="15.75" thickTop="1" x14ac:dyDescent="0.25"/>
    <row r="13" spans="1:15" x14ac:dyDescent="0.25">
      <c r="I13" s="53" t="s">
        <v>62</v>
      </c>
      <c r="J13" s="53"/>
      <c r="K13" s="53"/>
      <c r="L13" s="53"/>
      <c r="M13" s="53"/>
      <c r="N13" s="53"/>
      <c r="O13" s="53"/>
    </row>
    <row r="14" spans="1:15" x14ac:dyDescent="0.25">
      <c r="I14" s="54"/>
      <c r="J14" s="54"/>
      <c r="K14" s="54"/>
      <c r="L14" s="54"/>
      <c r="M14" s="54"/>
      <c r="N14" s="54"/>
      <c r="O14" s="54"/>
    </row>
    <row r="15" spans="1:15" ht="30" x14ac:dyDescent="0.25">
      <c r="I15" s="64" t="s">
        <v>63</v>
      </c>
      <c r="J15" s="65"/>
      <c r="K15" s="65"/>
      <c r="L15" s="65"/>
      <c r="M15" s="19" t="s">
        <v>46</v>
      </c>
      <c r="N15" s="19" t="s">
        <v>47</v>
      </c>
      <c r="O15" s="19" t="s">
        <v>82</v>
      </c>
    </row>
    <row r="16" spans="1:15" ht="17.100000000000001" customHeight="1" thickBot="1" x14ac:dyDescent="0.3">
      <c r="I16" s="20" t="s">
        <v>52</v>
      </c>
      <c r="J16" s="21"/>
      <c r="K16" s="21"/>
      <c r="L16" s="28"/>
      <c r="M16" s="22">
        <f>N7</f>
        <v>39.78</v>
      </c>
      <c r="N16" s="27">
        <f>N5</f>
        <v>2035</v>
      </c>
      <c r="O16" s="23">
        <f>N6/1000</f>
        <v>80.960599999999999</v>
      </c>
    </row>
    <row r="17" spans="1:15" ht="17.100000000000001" customHeight="1" thickTop="1" thickBot="1" x14ac:dyDescent="0.3">
      <c r="I17" s="20" t="s">
        <v>64</v>
      </c>
      <c r="J17" s="21"/>
      <c r="K17" s="28"/>
      <c r="L17" s="30"/>
      <c r="M17" s="26">
        <f>Stats_Cessna!O5</f>
        <v>46.5</v>
      </c>
      <c r="N17" s="27" t="str">
        <f>IF(ISBLANK(L17),"",$L17*6)</f>
        <v/>
      </c>
      <c r="O17" s="23" t="str">
        <f>IF(ISBLANK(L17),"",($N17*$M17/1000))</f>
        <v/>
      </c>
    </row>
    <row r="18" spans="1:15" ht="17.100000000000001" customHeight="1" thickTop="1" thickBot="1" x14ac:dyDescent="0.3">
      <c r="I18" s="20" t="s">
        <v>65</v>
      </c>
      <c r="J18" s="21"/>
      <c r="K18" s="30"/>
      <c r="L18" s="30"/>
      <c r="M18" s="26">
        <f>Stats_Cessna!P5</f>
        <v>37</v>
      </c>
      <c r="N18" s="27" t="str">
        <f>IF(AND(ISBLANK(K18),ISBLANK(L18)),"",$K18+$L18)</f>
        <v/>
      </c>
      <c r="O18" s="23" t="str">
        <f>IF(AND(ISBLANK(K18),ISBLANK(L18)),"",($N18*$M18/1000))</f>
        <v/>
      </c>
    </row>
    <row r="19" spans="1:15" ht="17.100000000000001" customHeight="1" thickTop="1" thickBot="1" x14ac:dyDescent="0.3">
      <c r="I19" s="20" t="s">
        <v>66</v>
      </c>
      <c r="J19" s="21"/>
      <c r="K19" s="30"/>
      <c r="L19" s="30"/>
      <c r="M19" s="26">
        <f>Stats_Cessna!Q5</f>
        <v>74</v>
      </c>
      <c r="N19" s="27" t="str">
        <f>IF(AND(ISBLANK(K19),ISBLANK(L19)),"",$K19+$L19)</f>
        <v/>
      </c>
      <c r="O19" s="23" t="str">
        <f>IF(AND(ISBLANK(K19),ISBLANK(L19)),"",($N19*$M19/1000))</f>
        <v/>
      </c>
    </row>
    <row r="20" spans="1:15" ht="17.100000000000001" customHeight="1" thickTop="1" thickBot="1" x14ac:dyDescent="0.3">
      <c r="I20" s="20" t="s">
        <v>67</v>
      </c>
      <c r="J20" s="21"/>
      <c r="K20" s="29"/>
      <c r="L20" s="30"/>
      <c r="M20" s="26">
        <f>Stats_Cessna!R5</f>
        <v>97</v>
      </c>
      <c r="N20" s="27" t="str">
        <f>IF(ISBLANK(L20),"",$L20)</f>
        <v/>
      </c>
      <c r="O20" s="23" t="str">
        <f>IF(ISBLANK(L20),"",($N20*$M20/1000))</f>
        <v/>
      </c>
    </row>
    <row r="21" spans="1:15" ht="17.100000000000001" customHeight="1" thickTop="1" thickBot="1" x14ac:dyDescent="0.3">
      <c r="I21" s="20" t="s">
        <v>68</v>
      </c>
      <c r="J21" s="21"/>
      <c r="K21" s="21"/>
      <c r="L21" s="30"/>
      <c r="M21" s="26">
        <f>Stats_Cessna!S5</f>
        <v>116</v>
      </c>
      <c r="N21" s="31" t="str">
        <f>IF(ISBLANK(L21),"",$L21)</f>
        <v/>
      </c>
      <c r="O21" s="32" t="str">
        <f>IF(ISBLANK(L21),"",($N21*$M21/1000))</f>
        <v/>
      </c>
    </row>
    <row r="22" spans="1:15" ht="17.100000000000001" customHeight="1" thickTop="1" thickBot="1" x14ac:dyDescent="0.3">
      <c r="I22" s="66" t="s">
        <v>85</v>
      </c>
      <c r="J22" s="67"/>
      <c r="K22" s="21"/>
      <c r="L22" s="30"/>
      <c r="M22" s="26">
        <f>Stats_Cessna!T5</f>
        <v>129</v>
      </c>
      <c r="N22" s="31" t="str">
        <f>IF(ISBLANK(L22),"",$L22)</f>
        <v/>
      </c>
      <c r="O22" s="32" t="str">
        <f>IF(ISBLANK(L22),"",($N22*$M22/1000))</f>
        <v/>
      </c>
    </row>
    <row r="23" spans="1:15" ht="17.100000000000001" customHeight="1" thickTop="1" x14ac:dyDescent="0.25">
      <c r="I23" s="24" t="s">
        <v>69</v>
      </c>
      <c r="J23" s="21"/>
      <c r="K23" s="21"/>
      <c r="L23" s="29"/>
      <c r="M23" s="21"/>
      <c r="N23" s="27" t="str">
        <f>IF(SUM(N17:N22)=0,"",SUM(N16:N22))</f>
        <v/>
      </c>
      <c r="O23" s="23" t="str">
        <f>IF(SUM(O17:O22)=0,"",SUM(O16:O22))</f>
        <v/>
      </c>
    </row>
    <row r="24" spans="1:15" ht="17.100000000000001" customHeight="1" thickBot="1" x14ac:dyDescent="0.3">
      <c r="I24" s="20" t="s">
        <v>70</v>
      </c>
      <c r="J24" s="21"/>
      <c r="K24" s="21"/>
      <c r="L24" s="21"/>
      <c r="M24" s="26"/>
      <c r="N24" s="35">
        <v>-10</v>
      </c>
      <c r="O24" s="36">
        <f>N24*M16/1000</f>
        <v>-0.39779999999999999</v>
      </c>
    </row>
    <row r="25" spans="1:15" ht="17.100000000000001" customHeight="1" thickTop="1" thickBot="1" x14ac:dyDescent="0.3">
      <c r="I25" s="24" t="s">
        <v>76</v>
      </c>
      <c r="J25" s="21"/>
      <c r="K25" s="21"/>
      <c r="L25" s="21"/>
      <c r="M25" s="21"/>
      <c r="N25" s="33" t="str">
        <f>IF(SUM(N17:N22)=0,"",N23+N24)</f>
        <v/>
      </c>
      <c r="O25" s="34" t="str">
        <f>IF(SUM(O17:O22)=0,"",O23+O24)</f>
        <v/>
      </c>
    </row>
    <row r="26" spans="1:15" ht="17.100000000000001" customHeight="1" thickTop="1" thickBot="1" x14ac:dyDescent="0.3">
      <c r="I26" s="66" t="s">
        <v>72</v>
      </c>
      <c r="J26" s="67"/>
      <c r="K26" s="67"/>
      <c r="L26" s="68"/>
      <c r="M26" s="67"/>
      <c r="N26" s="69"/>
      <c r="O26" s="70"/>
    </row>
    <row r="27" spans="1:15" ht="17.100000000000001" customHeight="1" thickTop="1" thickBot="1" x14ac:dyDescent="0.3">
      <c r="I27" s="20" t="s">
        <v>71</v>
      </c>
      <c r="J27" s="21"/>
      <c r="K27" s="21"/>
      <c r="L27" s="30"/>
      <c r="M27" s="21">
        <f>Stats_Cessna!O5</f>
        <v>46.5</v>
      </c>
      <c r="N27" s="31" t="str">
        <f>IF(ISBLANK(L27),"",$L27*6)</f>
        <v/>
      </c>
      <c r="O27" s="32" t="str">
        <f>IF(ISBLANK(L27),"",($N27*$M27/1000))</f>
        <v/>
      </c>
    </row>
    <row r="28" spans="1:15" ht="17.100000000000001" customHeight="1" thickTop="1" thickBot="1" x14ac:dyDescent="0.3">
      <c r="I28" s="24" t="s">
        <v>77</v>
      </c>
      <c r="J28" s="21"/>
      <c r="K28" s="21"/>
      <c r="L28" s="29"/>
      <c r="M28" s="21"/>
      <c r="N28" s="33" t="str">
        <f>IF(ISBLANK(L27),"",N25-(L27*6))</f>
        <v/>
      </c>
      <c r="O28" s="34" t="str">
        <f>IF(ISBLANK(L27),"",O25-(L27*6*M27/1000))</f>
        <v/>
      </c>
    </row>
    <row r="29" spans="1:15" ht="17.100000000000001" customHeight="1" thickTop="1" thickBot="1" x14ac:dyDescent="0.3">
      <c r="A29" t="s">
        <v>9</v>
      </c>
      <c r="B29" s="2" t="e">
        <f>O23-O17</f>
        <v>#VALUE!</v>
      </c>
      <c r="C29" s="3" t="e">
        <f>N23-N17</f>
        <v>#VALUE!</v>
      </c>
      <c r="I29" s="66" t="s">
        <v>73</v>
      </c>
      <c r="J29" s="67"/>
      <c r="K29" s="67"/>
      <c r="L29" s="67"/>
      <c r="M29" s="67"/>
      <c r="N29" s="71"/>
      <c r="O29" s="72"/>
    </row>
    <row r="30" spans="1:15" ht="17.100000000000001" customHeight="1" thickTop="1" thickBot="1" x14ac:dyDescent="0.3">
      <c r="A30" t="s">
        <v>4</v>
      </c>
      <c r="B30" s="2" t="str">
        <f>O28</f>
        <v/>
      </c>
      <c r="C30" s="3" t="str">
        <f>N28</f>
        <v/>
      </c>
      <c r="I30" s="24" t="s">
        <v>78</v>
      </c>
      <c r="J30" s="21"/>
      <c r="K30" s="21"/>
      <c r="L30" s="21"/>
      <c r="M30" s="21"/>
      <c r="N30" s="33" t="str">
        <f>IF(ISBLANK(L17),"",N23-N17)</f>
        <v/>
      </c>
      <c r="O30" s="34" t="str">
        <f>IF(ISBLANK(L17),"",O23-O17)</f>
        <v/>
      </c>
    </row>
    <row r="31" spans="1:15" ht="17.100000000000001" customHeight="1" thickTop="1" x14ac:dyDescent="0.25">
      <c r="A31" t="s">
        <v>3</v>
      </c>
      <c r="B31" s="2" t="str">
        <f>O25</f>
        <v/>
      </c>
      <c r="C31" s="3" t="str">
        <f>N25</f>
        <v/>
      </c>
      <c r="I31" s="66" t="s">
        <v>74</v>
      </c>
      <c r="J31" s="67"/>
      <c r="K31" s="67"/>
      <c r="L31" s="67"/>
      <c r="M31" s="67"/>
      <c r="N31" s="69"/>
      <c r="O31" s="70"/>
    </row>
    <row r="32" spans="1:15" ht="33.950000000000003" customHeight="1" x14ac:dyDescent="0.25">
      <c r="I32" s="73" t="s">
        <v>75</v>
      </c>
      <c r="J32" s="74"/>
      <c r="K32" s="74"/>
      <c r="L32" s="74"/>
      <c r="M32" s="74"/>
      <c r="N32" s="74"/>
      <c r="O32" s="75"/>
    </row>
    <row r="45" spans="14:16" x14ac:dyDescent="0.25">
      <c r="N45" s="2"/>
      <c r="P45" s="2"/>
    </row>
  </sheetData>
  <mergeCells count="12">
    <mergeCell ref="I32:O32"/>
    <mergeCell ref="A1:E1"/>
    <mergeCell ref="F1:G1"/>
    <mergeCell ref="L1:M1"/>
    <mergeCell ref="N1:O1"/>
    <mergeCell ref="A2:G2"/>
    <mergeCell ref="I13:O14"/>
    <mergeCell ref="I15:L15"/>
    <mergeCell ref="I22:J22"/>
    <mergeCell ref="I26:O26"/>
    <mergeCell ref="I29:O29"/>
    <mergeCell ref="I31:O31"/>
  </mergeCells>
  <conditionalFormatting sqref="O28">
    <cfRule type="cellIs" dxfId="6" priority="1" operator="greaterThan">
      <formula>N28*47.3/1000</formula>
    </cfRule>
  </conditionalFormatting>
  <pageMargins left="0.2" right="0.2" top="0.25" bottom="0.2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4"/>
  <sheetViews>
    <sheetView workbookViewId="0">
      <selection activeCell="F1" sqref="F1:G1"/>
    </sheetView>
  </sheetViews>
  <sheetFormatPr defaultRowHeight="15" x14ac:dyDescent="0.25"/>
  <cols>
    <col min="8" max="8" width="2.85546875" customWidth="1"/>
    <col min="9" max="9" width="6.28515625" customWidth="1"/>
    <col min="10" max="10" width="15.7109375" customWidth="1"/>
    <col min="11" max="11" width="9.5703125" customWidth="1"/>
    <col min="12" max="12" width="8.5703125" customWidth="1"/>
    <col min="13" max="13" width="8.42578125" customWidth="1"/>
    <col min="14" max="14" width="8.5703125" customWidth="1"/>
    <col min="15" max="15" width="9.7109375" customWidth="1"/>
  </cols>
  <sheetData>
    <row r="1" spans="1:15" ht="39.950000000000003" customHeight="1" thickBot="1" x14ac:dyDescent="0.75">
      <c r="A1" s="55" t="s">
        <v>144</v>
      </c>
      <c r="B1" s="56"/>
      <c r="C1" s="56"/>
      <c r="D1" s="56"/>
      <c r="E1" s="56"/>
      <c r="F1" s="57" t="s">
        <v>142</v>
      </c>
      <c r="G1" s="58"/>
      <c r="H1" s="1"/>
      <c r="I1" s="25" t="s">
        <v>143</v>
      </c>
      <c r="J1" s="1"/>
      <c r="L1" s="59" t="s">
        <v>48</v>
      </c>
      <c r="M1" s="59"/>
      <c r="N1" s="60">
        <f>Stats_Cessna!E2</f>
        <v>43609</v>
      </c>
      <c r="O1" s="60"/>
    </row>
    <row r="2" spans="1:15" ht="15.75" thickTop="1" x14ac:dyDescent="0.25">
      <c r="A2" s="85"/>
      <c r="B2" s="86"/>
      <c r="C2" s="86"/>
      <c r="D2" s="86"/>
      <c r="E2" s="86"/>
      <c r="F2" s="86"/>
      <c r="G2" s="87"/>
      <c r="I2" s="13" t="s">
        <v>49</v>
      </c>
      <c r="J2" s="14"/>
      <c r="K2" s="14"/>
      <c r="L2" s="14"/>
      <c r="M2" s="14"/>
      <c r="N2" s="14">
        <f>Stats_Cessna!F2</f>
        <v>2558</v>
      </c>
      <c r="O2" s="15" t="s">
        <v>58</v>
      </c>
    </row>
    <row r="3" spans="1:15" x14ac:dyDescent="0.25">
      <c r="I3" s="8" t="s">
        <v>50</v>
      </c>
      <c r="N3">
        <f>Stats_Cessna!G2</f>
        <v>2550</v>
      </c>
      <c r="O3" s="9" t="s">
        <v>58</v>
      </c>
    </row>
    <row r="4" spans="1:15" x14ac:dyDescent="0.25">
      <c r="I4" s="16" t="s">
        <v>51</v>
      </c>
      <c r="J4" s="17"/>
      <c r="K4" s="17"/>
      <c r="L4" s="17"/>
      <c r="M4" s="17"/>
      <c r="N4" s="17">
        <f>Stats_Cessna!H2</f>
        <v>2550</v>
      </c>
      <c r="O4" s="18" t="s">
        <v>58</v>
      </c>
    </row>
    <row r="5" spans="1:15" x14ac:dyDescent="0.25">
      <c r="I5" s="8" t="s">
        <v>52</v>
      </c>
      <c r="N5">
        <f>Stats_Cessna!I2</f>
        <v>1610.72</v>
      </c>
      <c r="O5" s="9" t="s">
        <v>58</v>
      </c>
    </row>
    <row r="6" spans="1:15" x14ac:dyDescent="0.25">
      <c r="I6" s="16" t="s">
        <v>55</v>
      </c>
      <c r="J6" s="17"/>
      <c r="K6" s="17"/>
      <c r="L6" s="17"/>
      <c r="M6" s="17"/>
      <c r="N6" s="17">
        <f>Stats_Cessna!K2</f>
        <v>65957.31</v>
      </c>
      <c r="O6" s="18" t="s">
        <v>59</v>
      </c>
    </row>
    <row r="7" spans="1:15" x14ac:dyDescent="0.25">
      <c r="I7" s="8" t="s">
        <v>56</v>
      </c>
      <c r="N7">
        <f>Stats_Cessna!J2</f>
        <v>40.950000000000003</v>
      </c>
      <c r="O7" s="9" t="s">
        <v>60</v>
      </c>
    </row>
    <row r="8" spans="1:15" x14ac:dyDescent="0.25">
      <c r="I8" s="16" t="s">
        <v>53</v>
      </c>
      <c r="J8" s="17"/>
      <c r="K8" s="17"/>
      <c r="L8" s="17"/>
      <c r="M8" s="17"/>
      <c r="N8" s="17">
        <f>N2-N5</f>
        <v>947.28</v>
      </c>
      <c r="O8" s="18" t="s">
        <v>58</v>
      </c>
    </row>
    <row r="9" spans="1:15" x14ac:dyDescent="0.25">
      <c r="I9" s="8" t="s">
        <v>54</v>
      </c>
      <c r="N9">
        <f>N8-(N10*6)</f>
        <v>707.28</v>
      </c>
      <c r="O9" s="9" t="s">
        <v>58</v>
      </c>
    </row>
    <row r="10" spans="1:15" x14ac:dyDescent="0.25">
      <c r="I10" s="16" t="s">
        <v>57</v>
      </c>
      <c r="J10" s="17"/>
      <c r="K10" s="17"/>
      <c r="L10" s="17"/>
      <c r="M10" s="17"/>
      <c r="N10" s="17">
        <f>Stats_Cessna!M2</f>
        <v>40</v>
      </c>
      <c r="O10" s="18" t="s">
        <v>61</v>
      </c>
    </row>
    <row r="11" spans="1:15" ht="15.75" thickBot="1" x14ac:dyDescent="0.3">
      <c r="I11" s="10" t="s">
        <v>81</v>
      </c>
      <c r="J11" s="11"/>
      <c r="K11" s="11"/>
      <c r="L11" s="11"/>
      <c r="M11" s="11"/>
      <c r="N11" s="11">
        <f>Stats_Cessna!L2</f>
        <v>18</v>
      </c>
      <c r="O11" s="12" t="s">
        <v>58</v>
      </c>
    </row>
    <row r="12" spans="1:15" ht="15.75" thickTop="1" x14ac:dyDescent="0.25"/>
    <row r="13" spans="1:15" x14ac:dyDescent="0.25">
      <c r="I13" s="53" t="s">
        <v>62</v>
      </c>
      <c r="J13" s="53"/>
      <c r="K13" s="53"/>
      <c r="L13" s="53"/>
      <c r="M13" s="53"/>
      <c r="N13" s="53"/>
      <c r="O13" s="53"/>
    </row>
    <row r="14" spans="1:15" x14ac:dyDescent="0.25">
      <c r="I14" s="54"/>
      <c r="J14" s="54"/>
      <c r="K14" s="54"/>
      <c r="L14" s="54"/>
      <c r="M14" s="54"/>
      <c r="N14" s="54"/>
      <c r="O14" s="54"/>
    </row>
    <row r="15" spans="1:15" ht="30" x14ac:dyDescent="0.25">
      <c r="I15" s="64" t="s">
        <v>63</v>
      </c>
      <c r="J15" s="65"/>
      <c r="K15" s="65"/>
      <c r="L15" s="65"/>
      <c r="M15" s="19" t="s">
        <v>46</v>
      </c>
      <c r="N15" s="19" t="s">
        <v>47</v>
      </c>
      <c r="O15" s="19" t="s">
        <v>82</v>
      </c>
    </row>
    <row r="16" spans="1:15" ht="18.95" customHeight="1" thickBot="1" x14ac:dyDescent="0.3">
      <c r="I16" s="20" t="s">
        <v>52</v>
      </c>
      <c r="J16" s="21"/>
      <c r="K16" s="21"/>
      <c r="L16" s="28"/>
      <c r="M16" s="22">
        <f>N7</f>
        <v>40.950000000000003</v>
      </c>
      <c r="N16" s="27">
        <f>N5</f>
        <v>1610.72</v>
      </c>
      <c r="O16" s="23">
        <f>N6/1000</f>
        <v>65.957309999999993</v>
      </c>
    </row>
    <row r="17" spans="1:15" ht="18.95" customHeight="1" thickTop="1" thickBot="1" x14ac:dyDescent="0.3">
      <c r="I17" s="20" t="s">
        <v>64</v>
      </c>
      <c r="J17" s="21"/>
      <c r="K17" s="28"/>
      <c r="L17" s="30"/>
      <c r="M17" s="26">
        <f>Stats_Cessna!O2</f>
        <v>48</v>
      </c>
      <c r="N17" s="27" t="str">
        <f>IF(ISBLANK(L17),"",$L17*6)</f>
        <v/>
      </c>
      <c r="O17" s="23" t="str">
        <f>IF(ISBLANK(L17),"",($N17*$M17/1000))</f>
        <v/>
      </c>
    </row>
    <row r="18" spans="1:15" ht="18.95" customHeight="1" thickTop="1" thickBot="1" x14ac:dyDescent="0.3">
      <c r="I18" s="20" t="s">
        <v>65</v>
      </c>
      <c r="J18" s="21"/>
      <c r="K18" s="30"/>
      <c r="L18" s="30"/>
      <c r="M18" s="26">
        <f>Stats_Cessna!P2</f>
        <v>37</v>
      </c>
      <c r="N18" s="27" t="str">
        <f>IF(AND(ISBLANK(K18),ISBLANK(L18)),"",$K18+$L18)</f>
        <v/>
      </c>
      <c r="O18" s="23" t="str">
        <f>IF(AND(ISBLANK(K18),ISBLANK(L18)),"",($N18*$M18/1000))</f>
        <v/>
      </c>
    </row>
    <row r="19" spans="1:15" ht="18.95" customHeight="1" thickTop="1" thickBot="1" x14ac:dyDescent="0.3">
      <c r="I19" s="20" t="s">
        <v>66</v>
      </c>
      <c r="J19" s="21"/>
      <c r="K19" s="30"/>
      <c r="L19" s="30"/>
      <c r="M19" s="26">
        <f>Stats_Cessna!Q2</f>
        <v>73</v>
      </c>
      <c r="N19" s="27" t="str">
        <f>IF(AND(ISBLANK(K19),ISBLANK(L19)),"",$K19+$L19)</f>
        <v/>
      </c>
      <c r="O19" s="23" t="str">
        <f>IF(AND(ISBLANK(K19),ISBLANK(L19)),"",($N19*$M19/1000))</f>
        <v/>
      </c>
    </row>
    <row r="20" spans="1:15" ht="18.95" customHeight="1" thickTop="1" thickBot="1" x14ac:dyDescent="0.3">
      <c r="I20" s="20" t="s">
        <v>67</v>
      </c>
      <c r="J20" s="21"/>
      <c r="K20" s="29"/>
      <c r="L20" s="30"/>
      <c r="M20" s="26">
        <f>Stats_Cessna!R2</f>
        <v>95</v>
      </c>
      <c r="N20" s="27" t="str">
        <f>IF(ISBLANK(L20),"",$L20)</f>
        <v/>
      </c>
      <c r="O20" s="23" t="str">
        <f>IF(ISBLANK(L20),"",($N20*$M20/1000))</f>
        <v/>
      </c>
    </row>
    <row r="21" spans="1:15" ht="18.95" customHeight="1" thickTop="1" thickBot="1" x14ac:dyDescent="0.3">
      <c r="I21" s="20" t="s">
        <v>68</v>
      </c>
      <c r="J21" s="21"/>
      <c r="K21" s="21"/>
      <c r="L21" s="30"/>
      <c r="M21" s="26">
        <f>Stats_Cessna!S2</f>
        <v>123</v>
      </c>
      <c r="N21" s="31" t="str">
        <f>IF(ISBLANK(L21),"",$L21)</f>
        <v/>
      </c>
      <c r="O21" s="32" t="str">
        <f>IF(ISBLANK(L21),"",($N21*$M21/1000))</f>
        <v/>
      </c>
    </row>
    <row r="22" spans="1:15" ht="18.95" customHeight="1" thickTop="1" x14ac:dyDescent="0.25">
      <c r="I22" s="24" t="s">
        <v>69</v>
      </c>
      <c r="J22" s="21"/>
      <c r="K22" s="21"/>
      <c r="L22" s="29"/>
      <c r="M22" s="21"/>
      <c r="N22" s="27" t="str">
        <f>IF(SUM(N17:N21)=0,"",SUM(N16:N21))</f>
        <v/>
      </c>
      <c r="O22" s="23" t="str">
        <f>IF(SUM(O17:O21)=0,"",SUM(O16:O21))</f>
        <v/>
      </c>
    </row>
    <row r="23" spans="1:15" ht="18.95" customHeight="1" thickBot="1" x14ac:dyDescent="0.3">
      <c r="I23" s="20" t="s">
        <v>70</v>
      </c>
      <c r="J23" s="21"/>
      <c r="K23" s="21"/>
      <c r="L23" s="21"/>
      <c r="M23" s="26"/>
      <c r="N23" s="35">
        <v>-8.5</v>
      </c>
      <c r="O23" s="36">
        <f>N23*M17/1000</f>
        <v>-0.40799999999999997</v>
      </c>
    </row>
    <row r="24" spans="1:15" ht="18.95" customHeight="1" thickTop="1" thickBot="1" x14ac:dyDescent="0.3">
      <c r="I24" s="24" t="s">
        <v>76</v>
      </c>
      <c r="J24" s="21"/>
      <c r="K24" s="21"/>
      <c r="L24" s="21"/>
      <c r="M24" s="21"/>
      <c r="N24" s="33" t="str">
        <f>IF(SUM(N17:N21)=0,"",N22+N23)</f>
        <v/>
      </c>
      <c r="O24" s="34" t="str">
        <f>IF(SUM(O17:O21)=0,"",O22+O23)</f>
        <v/>
      </c>
    </row>
    <row r="25" spans="1:15" ht="18.95" customHeight="1" thickTop="1" thickBot="1" x14ac:dyDescent="0.3">
      <c r="I25" s="66" t="s">
        <v>72</v>
      </c>
      <c r="J25" s="67"/>
      <c r="K25" s="67"/>
      <c r="L25" s="68"/>
      <c r="M25" s="67"/>
      <c r="N25" s="69"/>
      <c r="O25" s="70"/>
    </row>
    <row r="26" spans="1:15" ht="18.95" customHeight="1" thickTop="1" thickBot="1" x14ac:dyDescent="0.3">
      <c r="I26" s="20" t="s">
        <v>71</v>
      </c>
      <c r="J26" s="21"/>
      <c r="K26" s="21"/>
      <c r="L26" s="30"/>
      <c r="M26" s="21">
        <f>Stats_Cessna!O2</f>
        <v>48</v>
      </c>
      <c r="N26" s="31" t="str">
        <f>IF(ISBLANK(L26),"",$L26*6)</f>
        <v/>
      </c>
      <c r="O26" s="32" t="str">
        <f>IF(ISBLANK(L26),"",($N26*$M26/1000))</f>
        <v/>
      </c>
    </row>
    <row r="27" spans="1:15" ht="18.95" customHeight="1" thickTop="1" thickBot="1" x14ac:dyDescent="0.3">
      <c r="I27" s="24" t="s">
        <v>77</v>
      </c>
      <c r="J27" s="21"/>
      <c r="K27" s="21"/>
      <c r="L27" s="29"/>
      <c r="M27" s="21"/>
      <c r="N27" s="33" t="str">
        <f>IF(ISBLANK(L26),"",N24-(L26*6))</f>
        <v/>
      </c>
      <c r="O27" s="34" t="str">
        <f>IF(ISBLANK(L26),"",O24-(L26*6*M26/1000))</f>
        <v/>
      </c>
    </row>
    <row r="28" spans="1:15" ht="18.95" customHeight="1" thickTop="1" thickBot="1" x14ac:dyDescent="0.3">
      <c r="A28" t="s">
        <v>9</v>
      </c>
      <c r="B28" s="2" t="e">
        <f>O22-O17</f>
        <v>#VALUE!</v>
      </c>
      <c r="C28" s="3" t="e">
        <f>N22-N17</f>
        <v>#VALUE!</v>
      </c>
      <c r="I28" s="66" t="s">
        <v>73</v>
      </c>
      <c r="J28" s="67"/>
      <c r="K28" s="67"/>
      <c r="L28" s="67"/>
      <c r="M28" s="67"/>
      <c r="N28" s="71"/>
      <c r="O28" s="72"/>
    </row>
    <row r="29" spans="1:15" ht="18.95" customHeight="1" thickTop="1" thickBot="1" x14ac:dyDescent="0.3">
      <c r="A29" t="s">
        <v>4</v>
      </c>
      <c r="B29" s="2" t="str">
        <f>O27</f>
        <v/>
      </c>
      <c r="C29" s="3" t="str">
        <f>N27</f>
        <v/>
      </c>
      <c r="I29" s="24" t="s">
        <v>78</v>
      </c>
      <c r="J29" s="21"/>
      <c r="K29" s="21"/>
      <c r="L29" s="21"/>
      <c r="M29" s="21"/>
      <c r="N29" s="33" t="str">
        <f>IF(ISBLANK(L17),"",N22-N17)</f>
        <v/>
      </c>
      <c r="O29" s="34" t="str">
        <f>IF(ISBLANK(L17),"",O22-O17)</f>
        <v/>
      </c>
    </row>
    <row r="30" spans="1:15" ht="18.95" customHeight="1" thickTop="1" x14ac:dyDescent="0.25">
      <c r="A30" t="s">
        <v>3</v>
      </c>
      <c r="B30" s="2" t="str">
        <f>O24</f>
        <v/>
      </c>
      <c r="C30" s="3" t="str">
        <f>N24</f>
        <v/>
      </c>
      <c r="I30" s="66" t="s">
        <v>74</v>
      </c>
      <c r="J30" s="67"/>
      <c r="K30" s="67"/>
      <c r="L30" s="67"/>
      <c r="M30" s="67"/>
      <c r="N30" s="69"/>
      <c r="O30" s="70"/>
    </row>
    <row r="31" spans="1:15" ht="29.25" customHeight="1" x14ac:dyDescent="0.25">
      <c r="I31" s="73" t="s">
        <v>75</v>
      </c>
      <c r="J31" s="74"/>
      <c r="K31" s="74"/>
      <c r="L31" s="74"/>
      <c r="M31" s="74"/>
      <c r="N31" s="74"/>
      <c r="O31" s="75"/>
    </row>
    <row r="44" spans="14:16" x14ac:dyDescent="0.25">
      <c r="N44" s="2"/>
      <c r="P44" s="2"/>
    </row>
  </sheetData>
  <mergeCells count="11">
    <mergeCell ref="I13:O14"/>
    <mergeCell ref="A1:E1"/>
    <mergeCell ref="F1:G1"/>
    <mergeCell ref="L1:M1"/>
    <mergeCell ref="N1:O1"/>
    <mergeCell ref="A2:G2"/>
    <mergeCell ref="I15:L15"/>
    <mergeCell ref="I25:O25"/>
    <mergeCell ref="I28:O28"/>
    <mergeCell ref="I30:O30"/>
    <mergeCell ref="I31:O31"/>
  </mergeCells>
  <conditionalFormatting sqref="O27">
    <cfRule type="cellIs" dxfId="4" priority="1" operator="greaterThan">
      <formula>N27*47.3/1000</formula>
    </cfRule>
  </conditionalFormatting>
  <pageMargins left="0.2" right="0.2" top="0.25" bottom="0.2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102D1-DE28-487C-8ABB-E45A2DA9FA6E}">
  <sheetPr>
    <tabColor rgb="FFFF0000"/>
    <pageSetUpPr fitToPage="1"/>
  </sheetPr>
  <dimension ref="A1:P45"/>
  <sheetViews>
    <sheetView zoomScaleNormal="100" workbookViewId="0">
      <selection activeCell="N2" sqref="N2"/>
    </sheetView>
  </sheetViews>
  <sheetFormatPr defaultRowHeight="15" x14ac:dyDescent="0.25"/>
  <cols>
    <col min="8" max="8" width="2.85546875" customWidth="1"/>
    <col min="9" max="9" width="6.28515625" customWidth="1"/>
    <col min="10" max="10" width="15.7109375" customWidth="1"/>
    <col min="11" max="11" width="9.5703125" customWidth="1"/>
    <col min="12" max="12" width="8.5703125" customWidth="1"/>
    <col min="13" max="13" width="8.42578125" customWidth="1"/>
    <col min="14" max="14" width="8.5703125" customWidth="1"/>
    <col min="15" max="15" width="9.7109375" customWidth="1"/>
  </cols>
  <sheetData>
    <row r="1" spans="1:15" ht="39.950000000000003" customHeight="1" thickBot="1" x14ac:dyDescent="0.75">
      <c r="A1" s="55" t="s">
        <v>138</v>
      </c>
      <c r="B1" s="56"/>
      <c r="C1" s="56"/>
      <c r="D1" s="56"/>
      <c r="E1" s="56"/>
      <c r="F1" s="57" t="s">
        <v>132</v>
      </c>
      <c r="G1" s="58"/>
      <c r="H1" s="1"/>
      <c r="I1" s="25" t="s">
        <v>139</v>
      </c>
      <c r="J1" s="1"/>
      <c r="L1" s="59" t="s">
        <v>48</v>
      </c>
      <c r="M1" s="59"/>
      <c r="N1" s="60">
        <f>Stats_Cessna!E8</f>
        <v>43550</v>
      </c>
      <c r="O1" s="60"/>
    </row>
    <row r="2" spans="1:15" ht="15.75" thickTop="1" x14ac:dyDescent="0.25">
      <c r="A2" s="79"/>
      <c r="B2" s="80"/>
      <c r="C2" s="80"/>
      <c r="D2" s="80"/>
      <c r="E2" s="80"/>
      <c r="F2" s="80"/>
      <c r="G2" s="81"/>
      <c r="I2" s="13" t="s">
        <v>49</v>
      </c>
      <c r="J2" s="14"/>
      <c r="K2" s="14"/>
      <c r="L2" s="14"/>
      <c r="M2" s="14"/>
      <c r="N2" s="14">
        <f>Stats_Cessna!F8</f>
        <v>3110</v>
      </c>
      <c r="O2" s="15" t="s">
        <v>58</v>
      </c>
    </row>
    <row r="3" spans="1:15" x14ac:dyDescent="0.25">
      <c r="I3" s="8" t="s">
        <v>50</v>
      </c>
      <c r="N3">
        <f>Stats_Cessna!G8</f>
        <v>3100</v>
      </c>
      <c r="O3" s="9" t="s">
        <v>58</v>
      </c>
    </row>
    <row r="4" spans="1:15" x14ac:dyDescent="0.25">
      <c r="I4" s="16" t="s">
        <v>51</v>
      </c>
      <c r="J4" s="17"/>
      <c r="K4" s="17"/>
      <c r="L4" s="17"/>
      <c r="M4" s="17"/>
      <c r="N4" s="17">
        <f>Stats_Cessna!H8</f>
        <v>2950</v>
      </c>
      <c r="O4" s="18" t="s">
        <v>58</v>
      </c>
    </row>
    <row r="5" spans="1:15" x14ac:dyDescent="0.25">
      <c r="I5" s="8" t="s">
        <v>52</v>
      </c>
      <c r="N5">
        <f>Stats_Cessna!I8</f>
        <v>2060.02</v>
      </c>
      <c r="O5" s="9" t="s">
        <v>58</v>
      </c>
    </row>
    <row r="6" spans="1:15" x14ac:dyDescent="0.25">
      <c r="I6" s="16" t="s">
        <v>55</v>
      </c>
      <c r="J6" s="17"/>
      <c r="K6" s="17"/>
      <c r="L6" s="17"/>
      <c r="M6" s="17"/>
      <c r="N6" s="17">
        <f>Stats_Cessna!K8</f>
        <v>81976.615699999995</v>
      </c>
      <c r="O6" s="18" t="s">
        <v>59</v>
      </c>
    </row>
    <row r="7" spans="1:15" x14ac:dyDescent="0.25">
      <c r="I7" s="8" t="s">
        <v>56</v>
      </c>
      <c r="N7">
        <f>Stats_Cessna!J8</f>
        <v>39.7941</v>
      </c>
      <c r="O7" s="9" t="s">
        <v>60</v>
      </c>
    </row>
    <row r="8" spans="1:15" x14ac:dyDescent="0.25">
      <c r="I8" s="16" t="s">
        <v>53</v>
      </c>
      <c r="J8" s="17"/>
      <c r="K8" s="17"/>
      <c r="L8" s="17"/>
      <c r="M8" s="17"/>
      <c r="N8" s="17">
        <f>N2-N5</f>
        <v>1049.98</v>
      </c>
      <c r="O8" s="18" t="s">
        <v>58</v>
      </c>
    </row>
    <row r="9" spans="1:15" x14ac:dyDescent="0.25">
      <c r="I9" s="8" t="s">
        <v>54</v>
      </c>
      <c r="N9">
        <f>N8-(N10*6)</f>
        <v>527.98</v>
      </c>
      <c r="O9" s="9" t="s">
        <v>58</v>
      </c>
    </row>
    <row r="10" spans="1:15" x14ac:dyDescent="0.25">
      <c r="I10" s="16" t="s">
        <v>57</v>
      </c>
      <c r="J10" s="17"/>
      <c r="K10" s="17"/>
      <c r="L10" s="17"/>
      <c r="M10" s="17"/>
      <c r="N10" s="17">
        <f>Stats_Cessna!M8</f>
        <v>87</v>
      </c>
      <c r="O10" s="18" t="s">
        <v>61</v>
      </c>
    </row>
    <row r="11" spans="1:15" ht="15.75" thickBot="1" x14ac:dyDescent="0.3">
      <c r="I11" s="10" t="s">
        <v>81</v>
      </c>
      <c r="J11" s="11"/>
      <c r="K11" s="11"/>
      <c r="L11" s="11"/>
      <c r="M11" s="11"/>
      <c r="N11" s="11">
        <f>Stats_Cessna!L8</f>
        <v>0</v>
      </c>
      <c r="O11" s="12" t="s">
        <v>58</v>
      </c>
    </row>
    <row r="12" spans="1:15" ht="15.75" thickTop="1" x14ac:dyDescent="0.25"/>
    <row r="13" spans="1:15" x14ac:dyDescent="0.25">
      <c r="I13" s="53" t="s">
        <v>62</v>
      </c>
      <c r="J13" s="53"/>
      <c r="K13" s="53"/>
      <c r="L13" s="53"/>
      <c r="M13" s="53"/>
      <c r="N13" s="53"/>
      <c r="O13" s="53"/>
    </row>
    <row r="14" spans="1:15" x14ac:dyDescent="0.25">
      <c r="I14" s="54"/>
      <c r="J14" s="54"/>
      <c r="K14" s="54"/>
      <c r="L14" s="54"/>
      <c r="M14" s="54"/>
      <c r="N14" s="54"/>
      <c r="O14" s="54"/>
    </row>
    <row r="15" spans="1:15" ht="30" x14ac:dyDescent="0.25">
      <c r="I15" s="64" t="s">
        <v>63</v>
      </c>
      <c r="J15" s="65"/>
      <c r="K15" s="65"/>
      <c r="L15" s="65"/>
      <c r="M15" s="19" t="s">
        <v>46</v>
      </c>
      <c r="N15" s="19" t="s">
        <v>47</v>
      </c>
      <c r="O15" s="19" t="s">
        <v>82</v>
      </c>
    </row>
    <row r="16" spans="1:15" ht="17.100000000000001" customHeight="1" thickBot="1" x14ac:dyDescent="0.3">
      <c r="I16" s="20" t="s">
        <v>52</v>
      </c>
      <c r="J16" s="21"/>
      <c r="K16" s="21"/>
      <c r="L16" s="28"/>
      <c r="M16" s="22">
        <f>N7</f>
        <v>39.7941</v>
      </c>
      <c r="N16" s="27">
        <f>N5</f>
        <v>2060.02</v>
      </c>
      <c r="O16" s="23">
        <f>N6/1000</f>
        <v>81.976615699999996</v>
      </c>
    </row>
    <row r="17" spans="1:15" ht="17.100000000000001" customHeight="1" thickTop="1" thickBot="1" x14ac:dyDescent="0.3">
      <c r="I17" s="20" t="s">
        <v>64</v>
      </c>
      <c r="J17" s="21"/>
      <c r="K17" s="28"/>
      <c r="L17" s="30"/>
      <c r="M17" s="26">
        <f>Stats_Cessna!O5</f>
        <v>46.5</v>
      </c>
      <c r="N17" s="27" t="str">
        <f>IF(ISBLANK(L17),"",$L17*6)</f>
        <v/>
      </c>
      <c r="O17" s="23" t="str">
        <f>IF(ISBLANK(L17),"",($N17*$M17/1000))</f>
        <v/>
      </c>
    </row>
    <row r="18" spans="1:15" ht="17.100000000000001" customHeight="1" thickTop="1" thickBot="1" x14ac:dyDescent="0.3">
      <c r="I18" s="20" t="s">
        <v>65</v>
      </c>
      <c r="J18" s="21"/>
      <c r="K18" s="30"/>
      <c r="L18" s="30"/>
      <c r="M18" s="26">
        <f>Stats_Cessna!P5</f>
        <v>37</v>
      </c>
      <c r="N18" s="27" t="str">
        <f>IF(AND(ISBLANK(K18),ISBLANK(L18)),"",$K18+$L18)</f>
        <v/>
      </c>
      <c r="O18" s="23" t="str">
        <f>IF(AND(ISBLANK(K18),ISBLANK(L18)),"",($N18*$M18/1000))</f>
        <v/>
      </c>
    </row>
    <row r="19" spans="1:15" ht="17.100000000000001" customHeight="1" thickTop="1" thickBot="1" x14ac:dyDescent="0.3">
      <c r="I19" s="20" t="s">
        <v>66</v>
      </c>
      <c r="J19" s="21"/>
      <c r="K19" s="30"/>
      <c r="L19" s="30"/>
      <c r="M19" s="26">
        <f>Stats_Cessna!Q5</f>
        <v>74</v>
      </c>
      <c r="N19" s="27" t="str">
        <f>IF(AND(ISBLANK(K19),ISBLANK(L19)),"",$K19+$L19)</f>
        <v/>
      </c>
      <c r="O19" s="23" t="str">
        <f>IF(AND(ISBLANK(K19),ISBLANK(L19)),"",($N19*$M19/1000))</f>
        <v/>
      </c>
    </row>
    <row r="20" spans="1:15" ht="17.100000000000001" customHeight="1" thickTop="1" thickBot="1" x14ac:dyDescent="0.3">
      <c r="I20" s="20" t="s">
        <v>67</v>
      </c>
      <c r="J20" s="21"/>
      <c r="K20" s="29"/>
      <c r="L20" s="30"/>
      <c r="M20" s="26">
        <f>Stats_Cessna!R5</f>
        <v>97</v>
      </c>
      <c r="N20" s="27" t="str">
        <f>IF(ISBLANK(L20),"",$L20)</f>
        <v/>
      </c>
      <c r="O20" s="23" t="str">
        <f>IF(ISBLANK(L20),"",($N20*$M20/1000))</f>
        <v/>
      </c>
    </row>
    <row r="21" spans="1:15" ht="17.100000000000001" customHeight="1" thickTop="1" thickBot="1" x14ac:dyDescent="0.3">
      <c r="I21" s="20" t="s">
        <v>68</v>
      </c>
      <c r="J21" s="21"/>
      <c r="K21" s="21"/>
      <c r="L21" s="30"/>
      <c r="M21" s="26">
        <f>Stats_Cessna!S5</f>
        <v>116</v>
      </c>
      <c r="N21" s="31" t="str">
        <f>IF(ISBLANK(L21),"",$L21)</f>
        <v/>
      </c>
      <c r="O21" s="32" t="str">
        <f>IF(ISBLANK(L21),"",($N21*$M21/1000))</f>
        <v/>
      </c>
    </row>
    <row r="22" spans="1:15" ht="17.100000000000001" customHeight="1" thickTop="1" thickBot="1" x14ac:dyDescent="0.3">
      <c r="I22" s="66" t="s">
        <v>85</v>
      </c>
      <c r="J22" s="67"/>
      <c r="K22" s="21"/>
      <c r="L22" s="30"/>
      <c r="M22" s="26">
        <f>Stats_Cessna!T5</f>
        <v>129</v>
      </c>
      <c r="N22" s="31" t="str">
        <f>IF(ISBLANK(L22),"",$L22)</f>
        <v/>
      </c>
      <c r="O22" s="32" t="str">
        <f>IF(ISBLANK(L22),"",($N22*$M22/1000))</f>
        <v/>
      </c>
    </row>
    <row r="23" spans="1:15" ht="17.100000000000001" customHeight="1" thickTop="1" x14ac:dyDescent="0.25">
      <c r="I23" s="24" t="s">
        <v>69</v>
      </c>
      <c r="J23" s="21"/>
      <c r="K23" s="21"/>
      <c r="L23" s="29"/>
      <c r="M23" s="21"/>
      <c r="N23" s="27" t="str">
        <f>IF(SUM(N17:N22)=0,"",SUM(N16:N22))</f>
        <v/>
      </c>
      <c r="O23" s="23" t="str">
        <f>IF(SUM(O17:O22)=0,"",SUM(O16:O22))</f>
        <v/>
      </c>
    </row>
    <row r="24" spans="1:15" ht="17.100000000000001" customHeight="1" thickBot="1" x14ac:dyDescent="0.3">
      <c r="I24" s="20" t="s">
        <v>70</v>
      </c>
      <c r="J24" s="21"/>
      <c r="K24" s="21"/>
      <c r="L24" s="21"/>
      <c r="M24" s="26"/>
      <c r="N24" s="35">
        <v>-10</v>
      </c>
      <c r="O24" s="36">
        <f>N24*M16/1000</f>
        <v>-0.39794100000000004</v>
      </c>
    </row>
    <row r="25" spans="1:15" ht="17.100000000000001" customHeight="1" thickTop="1" thickBot="1" x14ac:dyDescent="0.3">
      <c r="I25" s="24" t="s">
        <v>76</v>
      </c>
      <c r="J25" s="21"/>
      <c r="K25" s="21"/>
      <c r="L25" s="21"/>
      <c r="M25" s="21"/>
      <c r="N25" s="33" t="str">
        <f>IF(SUM(N17:N22)=0,"",N23+N24)</f>
        <v/>
      </c>
      <c r="O25" s="34" t="str">
        <f>IF(SUM(O17:O22)=0,"",O23+O24)</f>
        <v/>
      </c>
    </row>
    <row r="26" spans="1:15" ht="17.100000000000001" customHeight="1" thickTop="1" thickBot="1" x14ac:dyDescent="0.3">
      <c r="I26" s="66" t="s">
        <v>72</v>
      </c>
      <c r="J26" s="67"/>
      <c r="K26" s="67"/>
      <c r="L26" s="68"/>
      <c r="M26" s="67"/>
      <c r="N26" s="69"/>
      <c r="O26" s="70"/>
    </row>
    <row r="27" spans="1:15" ht="17.100000000000001" customHeight="1" thickTop="1" thickBot="1" x14ac:dyDescent="0.3">
      <c r="I27" s="20" t="s">
        <v>71</v>
      </c>
      <c r="J27" s="21"/>
      <c r="K27" s="21"/>
      <c r="L27" s="30"/>
      <c r="M27" s="21">
        <f>Stats_Cessna!O5</f>
        <v>46.5</v>
      </c>
      <c r="N27" s="31" t="str">
        <f>IF(ISBLANK(L27),"",$L27*6)</f>
        <v/>
      </c>
      <c r="O27" s="32" t="str">
        <f>IF(ISBLANK(L27),"",($N27*$M27/1000))</f>
        <v/>
      </c>
    </row>
    <row r="28" spans="1:15" ht="17.100000000000001" customHeight="1" thickTop="1" thickBot="1" x14ac:dyDescent="0.3">
      <c r="I28" s="24" t="s">
        <v>77</v>
      </c>
      <c r="J28" s="21"/>
      <c r="K28" s="21"/>
      <c r="L28" s="29"/>
      <c r="M28" s="21"/>
      <c r="N28" s="33" t="str">
        <f>IF(ISBLANK(L27),"",N25-(L27*6))</f>
        <v/>
      </c>
      <c r="O28" s="34" t="str">
        <f>IF(ISBLANK(L27),"",O25-(L27*6*M27/1000))</f>
        <v/>
      </c>
    </row>
    <row r="29" spans="1:15" ht="17.100000000000001" customHeight="1" thickTop="1" thickBot="1" x14ac:dyDescent="0.3">
      <c r="A29" t="s">
        <v>9</v>
      </c>
      <c r="B29" s="2" t="e">
        <f>O23-O17</f>
        <v>#VALUE!</v>
      </c>
      <c r="C29" s="3" t="e">
        <f>N23-N17</f>
        <v>#VALUE!</v>
      </c>
      <c r="I29" s="66" t="s">
        <v>73</v>
      </c>
      <c r="J29" s="67"/>
      <c r="K29" s="67"/>
      <c r="L29" s="67"/>
      <c r="M29" s="67"/>
      <c r="N29" s="71"/>
      <c r="O29" s="72"/>
    </row>
    <row r="30" spans="1:15" ht="17.100000000000001" customHeight="1" thickTop="1" thickBot="1" x14ac:dyDescent="0.3">
      <c r="A30" t="s">
        <v>4</v>
      </c>
      <c r="B30" s="2" t="str">
        <f>O28</f>
        <v/>
      </c>
      <c r="C30" s="3" t="str">
        <f>N28</f>
        <v/>
      </c>
      <c r="I30" s="24" t="s">
        <v>78</v>
      </c>
      <c r="J30" s="21"/>
      <c r="K30" s="21"/>
      <c r="L30" s="21"/>
      <c r="M30" s="21"/>
      <c r="N30" s="33" t="str">
        <f>IF(ISBLANK(L17),"",N23-N17)</f>
        <v/>
      </c>
      <c r="O30" s="34" t="str">
        <f>IF(ISBLANK(L17),"",O23-O17)</f>
        <v/>
      </c>
    </row>
    <row r="31" spans="1:15" ht="17.100000000000001" customHeight="1" thickTop="1" x14ac:dyDescent="0.25">
      <c r="A31" t="s">
        <v>3</v>
      </c>
      <c r="B31" s="2" t="str">
        <f>O25</f>
        <v/>
      </c>
      <c r="C31" s="3" t="str">
        <f>N25</f>
        <v/>
      </c>
      <c r="I31" s="66" t="s">
        <v>74</v>
      </c>
      <c r="J31" s="67"/>
      <c r="K31" s="67"/>
      <c r="L31" s="67"/>
      <c r="M31" s="67"/>
      <c r="N31" s="69"/>
      <c r="O31" s="70"/>
    </row>
    <row r="32" spans="1:15" ht="33.950000000000003" customHeight="1" x14ac:dyDescent="0.25">
      <c r="I32" s="73" t="s">
        <v>75</v>
      </c>
      <c r="J32" s="74"/>
      <c r="K32" s="74"/>
      <c r="L32" s="74"/>
      <c r="M32" s="74"/>
      <c r="N32" s="74"/>
      <c r="O32" s="75"/>
    </row>
    <row r="45" spans="14:16" x14ac:dyDescent="0.25">
      <c r="N45" s="2"/>
      <c r="P45" s="2"/>
    </row>
  </sheetData>
  <mergeCells count="12">
    <mergeCell ref="I32:O32"/>
    <mergeCell ref="A1:E1"/>
    <mergeCell ref="F1:G1"/>
    <mergeCell ref="L1:M1"/>
    <mergeCell ref="N1:O1"/>
    <mergeCell ref="A2:G2"/>
    <mergeCell ref="I13:O14"/>
    <mergeCell ref="I15:L15"/>
    <mergeCell ref="I22:J22"/>
    <mergeCell ref="I26:O26"/>
    <mergeCell ref="I29:O29"/>
    <mergeCell ref="I31:O31"/>
  </mergeCells>
  <conditionalFormatting sqref="O28">
    <cfRule type="cellIs" dxfId="2" priority="1" operator="greaterThan">
      <formula>N28*47.3/1000</formula>
    </cfRule>
  </conditionalFormatting>
  <pageMargins left="0.2" right="0.2" top="0.25" bottom="0.2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45"/>
  <sheetViews>
    <sheetView workbookViewId="0">
      <selection activeCell="S13" sqref="S13"/>
    </sheetView>
  </sheetViews>
  <sheetFormatPr defaultRowHeight="15" x14ac:dyDescent="0.25"/>
  <cols>
    <col min="8" max="8" width="2.85546875" customWidth="1"/>
    <col min="9" max="9" width="6.28515625" customWidth="1"/>
    <col min="10" max="10" width="15.7109375" customWidth="1"/>
    <col min="11" max="11" width="9.5703125" customWidth="1"/>
    <col min="12" max="12" width="8.5703125" customWidth="1"/>
    <col min="13" max="13" width="8.42578125" customWidth="1"/>
    <col min="14" max="14" width="8.5703125" customWidth="1"/>
    <col min="15" max="15" width="9.7109375" customWidth="1"/>
  </cols>
  <sheetData>
    <row r="1" spans="1:15" ht="39.950000000000003" customHeight="1" thickBot="1" x14ac:dyDescent="0.75">
      <c r="A1" s="55" t="s">
        <v>87</v>
      </c>
      <c r="B1" s="56"/>
      <c r="C1" s="56"/>
      <c r="D1" s="56"/>
      <c r="E1" s="56"/>
      <c r="F1" s="57" t="s">
        <v>11</v>
      </c>
      <c r="G1" s="58"/>
      <c r="H1" s="1"/>
      <c r="I1" s="25" t="s">
        <v>88</v>
      </c>
      <c r="J1" s="1"/>
      <c r="L1" s="59" t="s">
        <v>48</v>
      </c>
      <c r="M1" s="59"/>
      <c r="N1" s="60">
        <f>Stats_Cessna!E6</f>
        <v>43606</v>
      </c>
      <c r="O1" s="60"/>
    </row>
    <row r="2" spans="1:15" ht="15.75" thickTop="1" x14ac:dyDescent="0.25">
      <c r="A2" s="91"/>
      <c r="B2" s="92"/>
      <c r="C2" s="92"/>
      <c r="D2" s="92"/>
      <c r="E2" s="92"/>
      <c r="F2" s="92"/>
      <c r="G2" s="93"/>
      <c r="I2" s="13" t="s">
        <v>49</v>
      </c>
      <c r="J2" s="14"/>
      <c r="K2" s="14"/>
      <c r="L2" s="14"/>
      <c r="M2" s="14"/>
      <c r="N2" s="14">
        <f>Stats_Cessna!F6</f>
        <v>3110</v>
      </c>
      <c r="O2" s="15" t="s">
        <v>58</v>
      </c>
    </row>
    <row r="3" spans="1:15" x14ac:dyDescent="0.25">
      <c r="I3" s="8" t="s">
        <v>50</v>
      </c>
      <c r="N3">
        <f>Stats_Cessna!G6</f>
        <v>3100</v>
      </c>
      <c r="O3" s="9" t="s">
        <v>58</v>
      </c>
    </row>
    <row r="4" spans="1:15" x14ac:dyDescent="0.25">
      <c r="I4" s="16" t="s">
        <v>51</v>
      </c>
      <c r="J4" s="17"/>
      <c r="K4" s="17"/>
      <c r="L4" s="17"/>
      <c r="M4" s="17"/>
      <c r="N4" s="17">
        <f>Stats_Cessna!H6</f>
        <v>2950</v>
      </c>
      <c r="O4" s="18" t="s">
        <v>58</v>
      </c>
    </row>
    <row r="5" spans="1:15" x14ac:dyDescent="0.25">
      <c r="I5" s="8" t="s">
        <v>52</v>
      </c>
      <c r="N5">
        <f>Stats_Cessna!I6</f>
        <v>2036.98</v>
      </c>
      <c r="O5" s="9" t="s">
        <v>58</v>
      </c>
    </row>
    <row r="6" spans="1:15" x14ac:dyDescent="0.25">
      <c r="I6" s="16" t="s">
        <v>55</v>
      </c>
      <c r="J6" s="17"/>
      <c r="K6" s="17"/>
      <c r="L6" s="17"/>
      <c r="M6" s="17"/>
      <c r="N6" s="17">
        <f>Stats_Cessna!K6</f>
        <v>80922.789999999994</v>
      </c>
      <c r="O6" s="18" t="s">
        <v>59</v>
      </c>
    </row>
    <row r="7" spans="1:15" x14ac:dyDescent="0.25">
      <c r="I7" s="8" t="s">
        <v>56</v>
      </c>
      <c r="N7">
        <f>Stats_Cessna!J6</f>
        <v>39.726849999999999</v>
      </c>
      <c r="O7" s="9" t="s">
        <v>60</v>
      </c>
    </row>
    <row r="8" spans="1:15" x14ac:dyDescent="0.25">
      <c r="I8" s="16" t="s">
        <v>53</v>
      </c>
      <c r="J8" s="17"/>
      <c r="K8" s="17"/>
      <c r="L8" s="17"/>
      <c r="M8" s="17"/>
      <c r="N8" s="17">
        <f>N2-N5</f>
        <v>1073.02</v>
      </c>
      <c r="O8" s="18" t="s">
        <v>58</v>
      </c>
    </row>
    <row r="9" spans="1:15" x14ac:dyDescent="0.25">
      <c r="I9" s="8" t="s">
        <v>54</v>
      </c>
      <c r="N9">
        <f>N8-(N10*6)</f>
        <v>551.02</v>
      </c>
      <c r="O9" s="9" t="s">
        <v>58</v>
      </c>
    </row>
    <row r="10" spans="1:15" x14ac:dyDescent="0.25">
      <c r="I10" s="16" t="s">
        <v>57</v>
      </c>
      <c r="J10" s="17"/>
      <c r="K10" s="17"/>
      <c r="L10" s="17"/>
      <c r="M10" s="17"/>
      <c r="N10" s="17">
        <f>Stats_Cessna!M6</f>
        <v>87</v>
      </c>
      <c r="O10" s="18" t="s">
        <v>61</v>
      </c>
    </row>
    <row r="11" spans="1:15" ht="15.75" thickBot="1" x14ac:dyDescent="0.3">
      <c r="I11" s="10" t="s">
        <v>81</v>
      </c>
      <c r="J11" s="11"/>
      <c r="K11" s="11"/>
      <c r="L11" s="11"/>
      <c r="M11" s="11"/>
      <c r="N11" s="11">
        <f>Stats_Cessna!L6</f>
        <v>36</v>
      </c>
      <c r="O11" s="12" t="s">
        <v>58</v>
      </c>
    </row>
    <row r="12" spans="1:15" ht="15.75" thickTop="1" x14ac:dyDescent="0.25"/>
    <row r="13" spans="1:15" x14ac:dyDescent="0.25">
      <c r="I13" s="53" t="s">
        <v>62</v>
      </c>
      <c r="J13" s="53"/>
      <c r="K13" s="53"/>
      <c r="L13" s="53"/>
      <c r="M13" s="53"/>
      <c r="N13" s="53"/>
      <c r="O13" s="53"/>
    </row>
    <row r="14" spans="1:15" x14ac:dyDescent="0.25">
      <c r="I14" s="54"/>
      <c r="J14" s="54"/>
      <c r="K14" s="54"/>
      <c r="L14" s="54"/>
      <c r="M14" s="54"/>
      <c r="N14" s="54"/>
      <c r="O14" s="54"/>
    </row>
    <row r="15" spans="1:15" ht="30" x14ac:dyDescent="0.25">
      <c r="I15" s="64" t="s">
        <v>63</v>
      </c>
      <c r="J15" s="65"/>
      <c r="K15" s="65"/>
      <c r="L15" s="65"/>
      <c r="M15" s="19" t="s">
        <v>46</v>
      </c>
      <c r="N15" s="19" t="s">
        <v>47</v>
      </c>
      <c r="O15" s="19" t="s">
        <v>82</v>
      </c>
    </row>
    <row r="16" spans="1:15" ht="17.100000000000001" customHeight="1" thickBot="1" x14ac:dyDescent="0.3">
      <c r="I16" s="20" t="s">
        <v>52</v>
      </c>
      <c r="J16" s="21"/>
      <c r="K16" s="21"/>
      <c r="L16" s="28"/>
      <c r="M16" s="22">
        <f>N7</f>
        <v>39.726849999999999</v>
      </c>
      <c r="N16" s="27">
        <f>N5</f>
        <v>2036.98</v>
      </c>
      <c r="O16" s="23">
        <f>N6/1000</f>
        <v>80.922789999999992</v>
      </c>
    </row>
    <row r="17" spans="1:15" ht="17.100000000000001" customHeight="1" thickTop="1" thickBot="1" x14ac:dyDescent="0.3">
      <c r="I17" s="20" t="s">
        <v>64</v>
      </c>
      <c r="J17" s="21"/>
      <c r="K17" s="28"/>
      <c r="L17" s="30"/>
      <c r="M17" s="26">
        <f>Stats_Cessna!O6</f>
        <v>46.5</v>
      </c>
      <c r="N17" s="27" t="str">
        <f>IF(ISBLANK(L17),"",$L17*6)</f>
        <v/>
      </c>
      <c r="O17" s="23" t="str">
        <f>IF(ISBLANK(L17),"",($N17*$M17/1000))</f>
        <v/>
      </c>
    </row>
    <row r="18" spans="1:15" ht="17.100000000000001" customHeight="1" thickTop="1" thickBot="1" x14ac:dyDescent="0.3">
      <c r="I18" s="20" t="s">
        <v>65</v>
      </c>
      <c r="J18" s="21"/>
      <c r="K18" s="30"/>
      <c r="L18" s="30"/>
      <c r="M18" s="26">
        <f>Stats_Cessna!P6</f>
        <v>37</v>
      </c>
      <c r="N18" s="27" t="str">
        <f>IF(AND(ISBLANK(K18),ISBLANK(L18)),"",$K18+$L18)</f>
        <v/>
      </c>
      <c r="O18" s="23" t="str">
        <f>IF(AND(ISBLANK(K18),ISBLANK(L18)),"",($N18*$M18/1000))</f>
        <v/>
      </c>
    </row>
    <row r="19" spans="1:15" ht="17.100000000000001" customHeight="1" thickTop="1" thickBot="1" x14ac:dyDescent="0.3">
      <c r="I19" s="20" t="s">
        <v>66</v>
      </c>
      <c r="J19" s="21"/>
      <c r="K19" s="30"/>
      <c r="L19" s="30"/>
      <c r="M19" s="26">
        <f>Stats_Cessna!Q6</f>
        <v>74</v>
      </c>
      <c r="N19" s="27" t="str">
        <f>IF(AND(ISBLANK(K19),ISBLANK(L19)),"",$K19+$L19)</f>
        <v/>
      </c>
      <c r="O19" s="23" t="str">
        <f>IF(AND(ISBLANK(K19),ISBLANK(L19)),"",($N19*$M19/1000))</f>
        <v/>
      </c>
    </row>
    <row r="20" spans="1:15" ht="17.100000000000001" customHeight="1" thickTop="1" thickBot="1" x14ac:dyDescent="0.3">
      <c r="I20" s="20" t="s">
        <v>67</v>
      </c>
      <c r="J20" s="21"/>
      <c r="K20" s="29"/>
      <c r="L20" s="30"/>
      <c r="M20" s="26">
        <f>Stats_Cessna!R6</f>
        <v>97</v>
      </c>
      <c r="N20" s="27" t="str">
        <f>IF(ISBLANK(L20),"",$L20)</f>
        <v/>
      </c>
      <c r="O20" s="23" t="str">
        <f>IF(ISBLANK(L20),"",($N20*$M20/1000))</f>
        <v/>
      </c>
    </row>
    <row r="21" spans="1:15" ht="17.100000000000001" customHeight="1" thickTop="1" thickBot="1" x14ac:dyDescent="0.3">
      <c r="I21" s="20" t="s">
        <v>68</v>
      </c>
      <c r="J21" s="21"/>
      <c r="K21" s="21"/>
      <c r="L21" s="30"/>
      <c r="M21" s="26">
        <f>Stats_Cessna!S6</f>
        <v>116</v>
      </c>
      <c r="N21" s="31" t="str">
        <f>IF(ISBLANK(L21),"",$L21)</f>
        <v/>
      </c>
      <c r="O21" s="32" t="str">
        <f>IF(ISBLANK(L21),"",($N21*$M21/1000))</f>
        <v/>
      </c>
    </row>
    <row r="22" spans="1:15" ht="17.100000000000001" customHeight="1" thickTop="1" thickBot="1" x14ac:dyDescent="0.3">
      <c r="I22" s="66" t="s">
        <v>85</v>
      </c>
      <c r="J22" s="67"/>
      <c r="K22" s="21"/>
      <c r="L22" s="30"/>
      <c r="M22" s="26">
        <f>Stats_Cessna!T6</f>
        <v>129</v>
      </c>
      <c r="N22" s="31" t="str">
        <f>IF(ISBLANK(L22),"",$L22)</f>
        <v/>
      </c>
      <c r="O22" s="32" t="str">
        <f>IF(ISBLANK(L22),"",($N22*$M22/1000))</f>
        <v/>
      </c>
    </row>
    <row r="23" spans="1:15" ht="17.100000000000001" customHeight="1" thickTop="1" x14ac:dyDescent="0.25">
      <c r="I23" s="24" t="s">
        <v>69</v>
      </c>
      <c r="J23" s="21"/>
      <c r="K23" s="21"/>
      <c r="L23" s="29"/>
      <c r="M23" s="21"/>
      <c r="N23" s="27" t="str">
        <f>IF(SUM(N17:N22)=0,"",SUM(N16:N22))</f>
        <v/>
      </c>
      <c r="O23" s="23" t="str">
        <f>IF(SUM(O17:O22)=0,"",SUM(O16:O22))</f>
        <v/>
      </c>
    </row>
    <row r="24" spans="1:15" ht="17.100000000000001" customHeight="1" thickBot="1" x14ac:dyDescent="0.3">
      <c r="I24" s="20" t="s">
        <v>70</v>
      </c>
      <c r="J24" s="21"/>
      <c r="K24" s="21"/>
      <c r="L24" s="21"/>
      <c r="M24" s="26"/>
      <c r="N24" s="35">
        <v>-10</v>
      </c>
      <c r="O24" s="36">
        <f>N24*M17/1000</f>
        <v>-0.46500000000000002</v>
      </c>
    </row>
    <row r="25" spans="1:15" ht="17.100000000000001" customHeight="1" thickTop="1" thickBot="1" x14ac:dyDescent="0.3">
      <c r="I25" s="24" t="s">
        <v>76</v>
      </c>
      <c r="J25" s="21"/>
      <c r="K25" s="21"/>
      <c r="L25" s="21"/>
      <c r="M25" s="21"/>
      <c r="N25" s="33" t="str">
        <f>IF(SUM(N17:N22)=0,"",N23+N24)</f>
        <v/>
      </c>
      <c r="O25" s="34" t="str">
        <f>IF(SUM(O17:O22)=0,"",O23+O24)</f>
        <v/>
      </c>
    </row>
    <row r="26" spans="1:15" ht="17.100000000000001" customHeight="1" thickTop="1" thickBot="1" x14ac:dyDescent="0.3">
      <c r="I26" s="66" t="s">
        <v>72</v>
      </c>
      <c r="J26" s="67"/>
      <c r="K26" s="67"/>
      <c r="L26" s="68"/>
      <c r="M26" s="67"/>
      <c r="N26" s="69"/>
      <c r="O26" s="70"/>
    </row>
    <row r="27" spans="1:15" ht="17.100000000000001" customHeight="1" thickTop="1" thickBot="1" x14ac:dyDescent="0.3">
      <c r="I27" s="20" t="s">
        <v>71</v>
      </c>
      <c r="J27" s="21"/>
      <c r="K27" s="21"/>
      <c r="L27" s="30"/>
      <c r="M27" s="21">
        <f>Stats_Cessna!O6</f>
        <v>46.5</v>
      </c>
      <c r="N27" s="31" t="str">
        <f>IF(ISBLANK(L27),"",$L27*6)</f>
        <v/>
      </c>
      <c r="O27" s="32" t="str">
        <f>IF(ISBLANK(L27),"",($N27*$M27/1000))</f>
        <v/>
      </c>
    </row>
    <row r="28" spans="1:15" ht="17.100000000000001" customHeight="1" thickTop="1" thickBot="1" x14ac:dyDescent="0.3">
      <c r="I28" s="24" t="s">
        <v>77</v>
      </c>
      <c r="J28" s="21"/>
      <c r="K28" s="21"/>
      <c r="L28" s="29"/>
      <c r="M28" s="21"/>
      <c r="N28" s="33" t="str">
        <f>IF(ISBLANK(L27),"",N25-(L27*6))</f>
        <v/>
      </c>
      <c r="O28" s="34" t="str">
        <f>IF(ISBLANK(L27),"",O25-(L27*6*M27/1000))</f>
        <v/>
      </c>
    </row>
    <row r="29" spans="1:15" ht="17.100000000000001" customHeight="1" thickTop="1" thickBot="1" x14ac:dyDescent="0.3">
      <c r="A29" t="s">
        <v>9</v>
      </c>
      <c r="B29" s="2" t="e">
        <f>O23-O17</f>
        <v>#VALUE!</v>
      </c>
      <c r="C29" s="3" t="e">
        <f>N23-N17</f>
        <v>#VALUE!</v>
      </c>
      <c r="I29" s="66" t="s">
        <v>73</v>
      </c>
      <c r="J29" s="67"/>
      <c r="K29" s="67"/>
      <c r="L29" s="67"/>
      <c r="M29" s="67"/>
      <c r="N29" s="71"/>
      <c r="O29" s="72"/>
    </row>
    <row r="30" spans="1:15" ht="17.100000000000001" customHeight="1" thickTop="1" thickBot="1" x14ac:dyDescent="0.3">
      <c r="A30" t="s">
        <v>4</v>
      </c>
      <c r="B30" s="2" t="str">
        <f>O28</f>
        <v/>
      </c>
      <c r="C30" s="3" t="str">
        <f>N28</f>
        <v/>
      </c>
      <c r="I30" s="24" t="s">
        <v>78</v>
      </c>
      <c r="J30" s="21"/>
      <c r="K30" s="21"/>
      <c r="L30" s="21"/>
      <c r="M30" s="21"/>
      <c r="N30" s="33" t="str">
        <f>IF(ISBLANK(L17),"",N23-N17)</f>
        <v/>
      </c>
      <c r="O30" s="34" t="str">
        <f>IF(ISBLANK(L17),"",O23-O17)</f>
        <v/>
      </c>
    </row>
    <row r="31" spans="1:15" ht="17.100000000000001" customHeight="1" thickTop="1" x14ac:dyDescent="0.25">
      <c r="A31" t="s">
        <v>3</v>
      </c>
      <c r="B31" s="2" t="str">
        <f>O25</f>
        <v/>
      </c>
      <c r="C31" s="3" t="str">
        <f>N25</f>
        <v/>
      </c>
      <c r="I31" s="66" t="s">
        <v>74</v>
      </c>
      <c r="J31" s="67"/>
      <c r="K31" s="67"/>
      <c r="L31" s="67"/>
      <c r="M31" s="67"/>
      <c r="N31" s="69"/>
      <c r="O31" s="70"/>
    </row>
    <row r="32" spans="1:15" ht="33.950000000000003" customHeight="1" x14ac:dyDescent="0.25">
      <c r="I32" s="73" t="s">
        <v>75</v>
      </c>
      <c r="J32" s="74"/>
      <c r="K32" s="74"/>
      <c r="L32" s="74"/>
      <c r="M32" s="74"/>
      <c r="N32" s="74"/>
      <c r="O32" s="75"/>
    </row>
    <row r="45" spans="14:16" x14ac:dyDescent="0.25">
      <c r="N45" s="2"/>
      <c r="P45" s="2"/>
    </row>
  </sheetData>
  <mergeCells count="12">
    <mergeCell ref="I32:O32"/>
    <mergeCell ref="A1:E1"/>
    <mergeCell ref="F1:G1"/>
    <mergeCell ref="L1:M1"/>
    <mergeCell ref="N1:O1"/>
    <mergeCell ref="A2:G2"/>
    <mergeCell ref="I13:O14"/>
    <mergeCell ref="I15:L15"/>
    <mergeCell ref="I22:J22"/>
    <mergeCell ref="I26:O26"/>
    <mergeCell ref="I29:O29"/>
    <mergeCell ref="I31:O31"/>
  </mergeCells>
  <conditionalFormatting sqref="O28">
    <cfRule type="cellIs" dxfId="1" priority="1" operator="greaterThan">
      <formula>N28*47.3/1000</formula>
    </cfRule>
  </conditionalFormatting>
  <pageMargins left="0.2" right="0.2" top="0.25" bottom="0.2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20"/>
  <sheetViews>
    <sheetView workbookViewId="0">
      <pane ySplit="1" topLeftCell="A2" activePane="bottomLeft" state="frozen"/>
      <selection activeCell="N2" sqref="N2"/>
      <selection pane="bottomLeft" activeCell="N2" sqref="N2"/>
    </sheetView>
  </sheetViews>
  <sheetFormatPr defaultRowHeight="15" x14ac:dyDescent="0.25"/>
  <cols>
    <col min="1" max="1" width="10.42578125" bestFit="1" customWidth="1"/>
    <col min="2" max="2" width="11.85546875" bestFit="1" customWidth="1"/>
    <col min="3" max="3" width="5" style="4" bestFit="1" customWidth="1"/>
    <col min="4" max="4" width="7.42578125" bestFit="1" customWidth="1"/>
    <col min="5" max="5" width="10.140625" bestFit="1" customWidth="1"/>
    <col min="6" max="6" width="9.85546875" customWidth="1"/>
    <col min="7" max="7" width="8.85546875" customWidth="1"/>
    <col min="8" max="8" width="9.42578125" customWidth="1"/>
    <col min="9" max="10" width="9.28515625" customWidth="1"/>
    <col min="11" max="11" width="10.5703125" bestFit="1" customWidth="1"/>
    <col min="12" max="12" width="9.28515625" customWidth="1"/>
    <col min="13" max="13" width="8.42578125" customWidth="1"/>
    <col min="14" max="14" width="9.28515625" customWidth="1"/>
    <col min="15" max="15" width="5.85546875" customWidth="1"/>
    <col min="16" max="16" width="7" customWidth="1"/>
    <col min="17" max="17" width="6.28515625" customWidth="1"/>
    <col min="18" max="20" width="5.5703125" bestFit="1" customWidth="1"/>
    <col min="21" max="21" width="40.5703125" bestFit="1" customWidth="1"/>
  </cols>
  <sheetData>
    <row r="1" spans="1:20" s="6" customFormat="1" ht="30" customHeight="1" thickBot="1" x14ac:dyDescent="0.3">
      <c r="A1" s="7" t="s">
        <v>14</v>
      </c>
      <c r="B1" s="7" t="s">
        <v>15</v>
      </c>
      <c r="C1" s="7" t="s">
        <v>42</v>
      </c>
      <c r="D1" s="7" t="s">
        <v>41</v>
      </c>
      <c r="E1" s="7" t="s">
        <v>18</v>
      </c>
      <c r="F1" s="7" t="s">
        <v>19</v>
      </c>
      <c r="G1" s="7" t="s">
        <v>30</v>
      </c>
      <c r="H1" s="7" t="s">
        <v>31</v>
      </c>
      <c r="I1" s="7" t="s">
        <v>20</v>
      </c>
      <c r="J1" s="7" t="s">
        <v>21</v>
      </c>
      <c r="K1" s="7" t="s">
        <v>34</v>
      </c>
      <c r="L1" s="7" t="s">
        <v>32</v>
      </c>
      <c r="M1" s="7" t="s">
        <v>22</v>
      </c>
      <c r="N1" s="7" t="s">
        <v>23</v>
      </c>
      <c r="O1" s="7" t="s">
        <v>24</v>
      </c>
      <c r="P1" s="7" t="s">
        <v>25</v>
      </c>
      <c r="Q1" s="7" t="s">
        <v>26</v>
      </c>
      <c r="R1" s="7" t="s">
        <v>27</v>
      </c>
      <c r="S1" s="7" t="s">
        <v>28</v>
      </c>
      <c r="T1" s="7" t="s">
        <v>29</v>
      </c>
    </row>
    <row r="2" spans="1:20" x14ac:dyDescent="0.25">
      <c r="A2" t="s">
        <v>142</v>
      </c>
      <c r="B2" t="s">
        <v>16</v>
      </c>
      <c r="C2" s="4">
        <v>1985</v>
      </c>
      <c r="D2">
        <v>1189</v>
      </c>
      <c r="E2" s="42">
        <v>43609</v>
      </c>
      <c r="F2" s="51">
        <v>2558</v>
      </c>
      <c r="G2" s="51">
        <v>2550</v>
      </c>
      <c r="H2" s="51">
        <v>2550</v>
      </c>
      <c r="I2" s="51">
        <v>1610.72</v>
      </c>
      <c r="J2">
        <v>40.950000000000003</v>
      </c>
      <c r="K2" s="52">
        <v>65957.31</v>
      </c>
      <c r="L2">
        <v>18</v>
      </c>
      <c r="M2">
        <v>40</v>
      </c>
      <c r="N2">
        <v>40</v>
      </c>
      <c r="O2">
        <v>48</v>
      </c>
      <c r="P2">
        <v>37</v>
      </c>
      <c r="Q2">
        <v>73</v>
      </c>
      <c r="R2">
        <v>95</v>
      </c>
      <c r="S2">
        <v>123</v>
      </c>
      <c r="T2">
        <v>0</v>
      </c>
    </row>
    <row r="3" spans="1:20" x14ac:dyDescent="0.25">
      <c r="A3" t="s">
        <v>12</v>
      </c>
      <c r="B3" t="s">
        <v>16</v>
      </c>
      <c r="C3" s="4">
        <v>1986</v>
      </c>
      <c r="D3">
        <v>1171</v>
      </c>
      <c r="E3" s="42">
        <v>43937</v>
      </c>
      <c r="F3" s="45">
        <v>2558</v>
      </c>
      <c r="G3" s="45">
        <v>2550</v>
      </c>
      <c r="H3" s="45">
        <v>2550</v>
      </c>
      <c r="I3" s="45">
        <v>1540.93</v>
      </c>
      <c r="J3">
        <v>38.78</v>
      </c>
      <c r="K3" s="44">
        <v>59759.040000000001</v>
      </c>
      <c r="L3">
        <v>40</v>
      </c>
      <c r="M3">
        <v>40</v>
      </c>
      <c r="N3">
        <v>40</v>
      </c>
      <c r="O3">
        <v>48</v>
      </c>
      <c r="P3">
        <v>37</v>
      </c>
      <c r="Q3">
        <v>73</v>
      </c>
      <c r="R3">
        <v>95</v>
      </c>
      <c r="S3">
        <v>123</v>
      </c>
      <c r="T3">
        <v>0</v>
      </c>
    </row>
    <row r="4" spans="1:20" x14ac:dyDescent="0.25">
      <c r="A4" t="s">
        <v>103</v>
      </c>
      <c r="B4" t="s">
        <v>101</v>
      </c>
      <c r="C4" s="4">
        <v>2015</v>
      </c>
      <c r="D4">
        <v>1139</v>
      </c>
      <c r="E4" s="42">
        <v>43615</v>
      </c>
      <c r="F4" s="51">
        <v>2558</v>
      </c>
      <c r="G4" s="51">
        <v>2550</v>
      </c>
      <c r="H4" s="51">
        <v>2550</v>
      </c>
      <c r="I4" s="51">
        <v>1733.96</v>
      </c>
      <c r="J4">
        <v>42.21</v>
      </c>
      <c r="K4" s="52">
        <v>73188.33</v>
      </c>
      <c r="L4">
        <v>15</v>
      </c>
      <c r="M4">
        <v>50</v>
      </c>
      <c r="N4">
        <v>53</v>
      </c>
      <c r="O4">
        <v>48</v>
      </c>
      <c r="P4">
        <v>37</v>
      </c>
      <c r="Q4">
        <v>73</v>
      </c>
      <c r="R4">
        <v>95</v>
      </c>
      <c r="S4">
        <v>123</v>
      </c>
      <c r="T4">
        <v>0</v>
      </c>
    </row>
    <row r="5" spans="1:20" x14ac:dyDescent="0.25">
      <c r="A5" t="s">
        <v>10</v>
      </c>
      <c r="B5" t="s">
        <v>17</v>
      </c>
      <c r="C5" s="4">
        <v>2005</v>
      </c>
      <c r="D5">
        <v>1131</v>
      </c>
      <c r="E5" s="42">
        <v>44581</v>
      </c>
      <c r="F5" s="45">
        <v>3110</v>
      </c>
      <c r="G5" s="45">
        <v>3100</v>
      </c>
      <c r="H5" s="45">
        <v>2950</v>
      </c>
      <c r="I5" s="45">
        <v>2035</v>
      </c>
      <c r="J5">
        <v>39.78</v>
      </c>
      <c r="K5" s="44">
        <v>80960.600000000006</v>
      </c>
      <c r="L5">
        <v>30</v>
      </c>
      <c r="M5">
        <v>87</v>
      </c>
      <c r="N5">
        <v>64</v>
      </c>
      <c r="O5">
        <v>46.5</v>
      </c>
      <c r="P5">
        <v>37</v>
      </c>
      <c r="Q5">
        <v>74</v>
      </c>
      <c r="R5">
        <v>97</v>
      </c>
      <c r="S5">
        <v>116</v>
      </c>
      <c r="T5">
        <v>129</v>
      </c>
    </row>
    <row r="6" spans="1:20" x14ac:dyDescent="0.25">
      <c r="A6" s="46" t="s">
        <v>11</v>
      </c>
      <c r="B6" s="46" t="s">
        <v>17</v>
      </c>
      <c r="C6" s="47">
        <v>2009</v>
      </c>
      <c r="D6" s="46">
        <v>1183</v>
      </c>
      <c r="E6" s="48">
        <v>43606</v>
      </c>
      <c r="F6" s="49">
        <v>3110</v>
      </c>
      <c r="G6" s="49">
        <v>3100</v>
      </c>
      <c r="H6" s="49">
        <v>2950</v>
      </c>
      <c r="I6" s="49">
        <v>2036.98</v>
      </c>
      <c r="J6" s="46">
        <v>39.726849999999999</v>
      </c>
      <c r="K6" s="50">
        <v>80922.789999999994</v>
      </c>
      <c r="L6" s="46">
        <v>36</v>
      </c>
      <c r="M6" s="46">
        <v>87</v>
      </c>
      <c r="N6" s="46">
        <v>64</v>
      </c>
      <c r="O6" s="46">
        <v>46.5</v>
      </c>
      <c r="P6" s="46">
        <v>37</v>
      </c>
      <c r="Q6" s="46">
        <v>74</v>
      </c>
      <c r="R6" s="46">
        <v>97</v>
      </c>
      <c r="S6" s="46">
        <v>116</v>
      </c>
      <c r="T6" s="46">
        <v>129</v>
      </c>
    </row>
    <row r="7" spans="1:20" x14ac:dyDescent="0.25">
      <c r="A7" t="s">
        <v>13</v>
      </c>
      <c r="B7" t="s">
        <v>17</v>
      </c>
      <c r="C7" s="4">
        <v>2009</v>
      </c>
      <c r="D7">
        <v>1150</v>
      </c>
      <c r="E7" s="42">
        <v>45135</v>
      </c>
      <c r="F7" s="45">
        <v>3110</v>
      </c>
      <c r="G7" s="45">
        <v>3100</v>
      </c>
      <c r="H7" s="45">
        <v>2950</v>
      </c>
      <c r="I7" s="45">
        <v>2030.97</v>
      </c>
      <c r="J7">
        <v>39.549999999999997</v>
      </c>
      <c r="K7" s="44">
        <v>80329.240000000005</v>
      </c>
      <c r="L7">
        <v>44</v>
      </c>
      <c r="M7">
        <v>87</v>
      </c>
      <c r="N7">
        <v>64</v>
      </c>
      <c r="O7">
        <v>46.5</v>
      </c>
      <c r="P7">
        <v>37</v>
      </c>
      <c r="Q7">
        <v>74</v>
      </c>
      <c r="R7">
        <v>97</v>
      </c>
      <c r="S7">
        <v>116</v>
      </c>
      <c r="T7">
        <v>129</v>
      </c>
    </row>
    <row r="8" spans="1:20" x14ac:dyDescent="0.25">
      <c r="A8" s="46" t="s">
        <v>137</v>
      </c>
      <c r="B8" s="46" t="s">
        <v>17</v>
      </c>
      <c r="C8" s="47">
        <v>2015</v>
      </c>
      <c r="D8" s="46">
        <v>4828</v>
      </c>
      <c r="E8" s="48">
        <v>43550</v>
      </c>
      <c r="F8" s="49">
        <v>3110</v>
      </c>
      <c r="G8" s="49">
        <v>3100</v>
      </c>
      <c r="H8" s="49">
        <v>2950</v>
      </c>
      <c r="I8" s="49">
        <v>2060.02</v>
      </c>
      <c r="J8" s="46">
        <v>39.7941</v>
      </c>
      <c r="K8" s="50">
        <v>81976.615699999995</v>
      </c>
      <c r="L8" s="46">
        <v>0</v>
      </c>
      <c r="M8" s="46">
        <v>87</v>
      </c>
      <c r="N8" s="46">
        <v>64</v>
      </c>
      <c r="O8" s="46">
        <v>46.5</v>
      </c>
      <c r="P8" s="46">
        <v>37</v>
      </c>
      <c r="Q8" s="46">
        <v>74</v>
      </c>
      <c r="R8" s="46">
        <v>97</v>
      </c>
      <c r="S8" s="46">
        <v>116</v>
      </c>
      <c r="T8" s="46">
        <v>129</v>
      </c>
    </row>
    <row r="12" spans="1:20" s="4" customFormat="1" x14ac:dyDescent="0.25"/>
    <row r="13" spans="1:20" s="4" customFormat="1" x14ac:dyDescent="0.25"/>
    <row r="18" spans="11:11" s="4" customFormat="1" x14ac:dyDescent="0.25"/>
    <row r="19" spans="11:11" s="4" customFormat="1" x14ac:dyDescent="0.25"/>
    <row r="20" spans="11:11" x14ac:dyDescent="0.25">
      <c r="K20" s="43"/>
    </row>
  </sheetData>
  <phoneticPr fontId="6"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N950CP</vt:lpstr>
      <vt:lpstr>N99871</vt:lpstr>
      <vt:lpstr>N470CP</vt:lpstr>
      <vt:lpstr>N839CP</vt:lpstr>
      <vt:lpstr>N631CP</vt:lpstr>
      <vt:lpstr>N99589</vt:lpstr>
      <vt:lpstr>N899CP-WI 182</vt:lpstr>
      <vt:lpstr>N883CP</vt:lpstr>
      <vt:lpstr>Stats_Cessna</vt:lpstr>
      <vt:lpstr>Stats_Gippsland</vt:lpstr>
      <vt:lpstr>Loading Graph Data</vt:lpstr>
      <vt:lpstr>Moment Envelope Data</vt:lpstr>
      <vt:lpstr>Template</vt:lpstr>
      <vt:lpstr>Change 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Gerry Baumgartner</dc:creator>
  <cp:lastModifiedBy>Gerald Wirth</cp:lastModifiedBy>
  <cp:lastPrinted>2023-04-22T23:39:59Z</cp:lastPrinted>
  <dcterms:created xsi:type="dcterms:W3CDTF">2012-09-30T23:21:23Z</dcterms:created>
  <dcterms:modified xsi:type="dcterms:W3CDTF">2024-05-18T16:13:13Z</dcterms:modified>
</cp:coreProperties>
</file>